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sino de Graduação_" sheetId="1" r:id="rId4"/>
    <sheet state="visible" name="Ensino Pós-Graduação" sheetId="2" r:id="rId5"/>
    <sheet state="visible" name="Extensão" sheetId="3" r:id="rId6"/>
    <sheet state="visible" name="GERAL" sheetId="4" r:id="rId7"/>
  </sheets>
  <definedNames/>
  <calcPr/>
  <extLst>
    <ext uri="GoogleSheetsCustomDataVersion1">
      <go:sheetsCustomData xmlns:go="http://customooxmlschemas.google.com/" r:id="rId8" roundtripDataSignature="AMtx7mhgUTNIIFtAgwWSujhJFBDtWtJKug=="/>
    </ext>
  </extLst>
</workbook>
</file>

<file path=xl/sharedStrings.xml><?xml version="1.0" encoding="utf-8"?>
<sst xmlns="http://schemas.openxmlformats.org/spreadsheetml/2006/main" count="168" uniqueCount="79">
  <si>
    <t>Montante a distribuir</t>
  </si>
  <si>
    <t>Unidade</t>
  </si>
  <si>
    <t>UNIDADE</t>
  </si>
  <si>
    <t>DOCENTES EXTENSIONISTAS-Relatório SIGAA Total de Docentes Participantes de Ações de Extensão</t>
  </si>
  <si>
    <t>Diplomados - 
Média dos 8 sem.</t>
  </si>
  <si>
    <t>DOCENTES DA UND - Dados PROGEP</t>
  </si>
  <si>
    <t>DISCENTES EXTENSIONISTAS-Relatório SIGAA Total de Discentes nas equipes de projetos participantes de Ações de Extensão e Dados do SIGAA disponibilizados pelo NTI</t>
  </si>
  <si>
    <t>DISCENTES MATRICULADOS - DADOS NTI</t>
  </si>
  <si>
    <t>Concluintes (Média)</t>
  </si>
  <si>
    <t>Ingressantes 
Media dos 8 sem.</t>
  </si>
  <si>
    <t>Tx. Sucesso</t>
  </si>
  <si>
    <t># Cursos</t>
  </si>
  <si>
    <t>Soma CPCs</t>
  </si>
  <si>
    <t>QG</t>
  </si>
  <si>
    <t>Ingressantes (Média)</t>
  </si>
  <si>
    <t>Fator Aluno
 equivalente</t>
  </si>
  <si>
    <t>Média dos conceitos</t>
  </si>
  <si>
    <t>FEEO Unificado
Capital e Custeio</t>
  </si>
  <si>
    <t>EPG</t>
  </si>
  <si>
    <t>AÇÕES-Dados do SIGAA disponibilizados pelo NTI</t>
  </si>
  <si>
    <t>PÚBLICO ATENDIDO COM BASE NOS RELATÓRIOS-Dados do SIGAA disponibilizados pelo NTI</t>
  </si>
  <si>
    <t>FATOR DISCENTE</t>
  </si>
  <si>
    <t>FATOR ALCANCE</t>
  </si>
  <si>
    <t>FD</t>
  </si>
  <si>
    <t>%</t>
  </si>
  <si>
    <t>FATOR DISTRIBUIÇÃO</t>
  </si>
  <si>
    <t>Valor a distribuir</t>
  </si>
  <si>
    <t>Total de alunos recebidos/
 Total de alunos da unidade</t>
  </si>
  <si>
    <t>% Total de alunos recebidos/
 Total de alunos da unidade</t>
  </si>
  <si>
    <t>C.H. docente 
cedido</t>
  </si>
  <si>
    <t>NÚMERO DE CURSOS DE GRAD</t>
  </si>
  <si>
    <t>% C.H. cedido/
Total C.H. cedido</t>
  </si>
  <si>
    <t>Fator Aluno equi. 
c/ aluno recebido e C.H.</t>
  </si>
  <si>
    <t>Fator</t>
  </si>
  <si>
    <t>CEDU</t>
  </si>
  <si>
    <t>Aluno equivalente</t>
  </si>
  <si>
    <t>CTEC</t>
  </si>
  <si>
    <t>EENF</t>
  </si>
  <si>
    <t>FALE</t>
  </si>
  <si>
    <t>FAMED</t>
  </si>
  <si>
    <t>FANUT</t>
  </si>
  <si>
    <t>FAU</t>
  </si>
  <si>
    <t>FDA</t>
  </si>
  <si>
    <t>FEAC</t>
  </si>
  <si>
    <t>FOUFAL</t>
  </si>
  <si>
    <t>FSSO</t>
  </si>
  <si>
    <t>IC</t>
  </si>
  <si>
    <t>ICAT</t>
  </si>
  <si>
    <t>ICBS</t>
  </si>
  <si>
    <t>ICF</t>
  </si>
  <si>
    <t>ICHCA</t>
  </si>
  <si>
    <t>ICS</t>
  </si>
  <si>
    <t>IEFE</t>
  </si>
  <si>
    <t>IF</t>
  </si>
  <si>
    <t>IGDEMA</t>
  </si>
  <si>
    <t>IM</t>
  </si>
  <si>
    <t>IP</t>
  </si>
  <si>
    <t>IQB</t>
  </si>
  <si>
    <t>Total</t>
  </si>
  <si>
    <t>EPG - Eficiência da Pós-Graduação</t>
  </si>
  <si>
    <t>FEEO - Fator de Eficiência na Execução Orçamentária</t>
  </si>
  <si>
    <t>FD - Fator de Distribuição</t>
  </si>
  <si>
    <t>Obs: Cursos novos, que apresentam apenas ingressantes não foram contabilizados</t>
  </si>
  <si>
    <t>Cursos profissionalizantes não considerados</t>
  </si>
  <si>
    <t>ESENFAR</t>
  </si>
  <si>
    <t>Extensão</t>
  </si>
  <si>
    <t>Graduação</t>
  </si>
  <si>
    <t>Pós-Graduação</t>
  </si>
  <si>
    <t>Total Consumo</t>
  </si>
  <si>
    <t>CECA</t>
  </si>
  <si>
    <t>Dimensão</t>
  </si>
  <si>
    <t>Percentual</t>
  </si>
  <si>
    <t>Valor por dimensão</t>
  </si>
  <si>
    <t>QG - Qualidade da Graduação</t>
  </si>
  <si>
    <t>Obs: Cursos novos, que apresentam apenas ingressantes não foram contabilizados, de acordo com manual do TCU</t>
  </si>
  <si>
    <t>Obs: Cursos que não apresenta CPC foi atribuido a média, quando houver mais de 1.</t>
  </si>
  <si>
    <t>Em amarelo: Conferido CPC no relatório da Prograd e site E-MEC</t>
  </si>
  <si>
    <t>Curso EAD não considerados, de acordo com manual do TCU</t>
  </si>
  <si>
    <t>Fonte: Prograd e NTI de acordo com o manual do TCU - INdicaodres do TCU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</si>
</sst>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R$-416]\ #,##0.00;[Red]\-[$R$-416]\ #,##0.00"/>
    <numFmt numFmtId="165" formatCode="#,##0.000"/>
    <numFmt numFmtId="166" formatCode="_-&quot;R$ &quot;* #,##0.00_-;&quot;-R$ &quot;* #,##0.00_-;_-&quot;R$ &quot;* \-??_-;_-@"/>
    <numFmt numFmtId="167" formatCode="0.000"/>
    <numFmt numFmtId="168" formatCode="0.0%"/>
  </numFmts>
  <fonts count="23">
    <font>
      <sz val="11.0"/>
      <color rgb="FF000000"/>
      <name val="Calibri"/>
    </font>
    <font>
      <b/>
      <sz val="12.0"/>
      <color rgb="FF000000"/>
      <name val="Calibri"/>
    </font>
    <font>
      <b/>
      <sz val="14.0"/>
      <color rgb="FF000000"/>
      <name val="Calibri"/>
    </font>
    <font/>
    <font>
      <b/>
      <sz val="8.0"/>
      <color rgb="FF000000"/>
      <name val="Times New Roman"/>
    </font>
    <font>
      <b/>
      <sz val="8.0"/>
      <color theme="1"/>
      <name val="Arial"/>
    </font>
    <font>
      <b/>
      <sz val="10.0"/>
      <color rgb="FF000000"/>
      <name val="Times New Roman"/>
    </font>
    <font>
      <sz val="8.0"/>
      <color theme="1"/>
      <name val="Calibri"/>
    </font>
    <font>
      <b/>
      <sz val="10.0"/>
      <color rgb="FF000000"/>
      <name val="Arial"/>
    </font>
    <font>
      <b/>
      <sz val="10.0"/>
      <color theme="1"/>
      <name val="Times New Roman"/>
    </font>
    <font>
      <b/>
      <sz val="8.0"/>
      <color rgb="FF000000"/>
      <name val="Arial"/>
    </font>
    <font>
      <b/>
      <sz val="11.0"/>
      <color rgb="FF000000"/>
      <name val="Calibri"/>
    </font>
    <font>
      <sz val="10.0"/>
      <color rgb="FF000000"/>
      <name val="Arial"/>
    </font>
    <font>
      <sz val="10.0"/>
      <color rgb="FF000000"/>
      <name val="Times New Roman"/>
    </font>
    <font>
      <sz val="8.0"/>
      <color theme="1"/>
      <name val="Times New Roman"/>
    </font>
    <font>
      <sz val="8.0"/>
      <color rgb="FF000000"/>
      <name val="Times New Roman"/>
    </font>
    <font>
      <sz val="8.0"/>
      <color rgb="FF000000"/>
      <name val="Arial"/>
    </font>
    <font>
      <sz val="10.0"/>
      <color theme="1"/>
      <name val="Arial"/>
    </font>
    <font>
      <color rgb="FF000000"/>
      <name val="Arial"/>
    </font>
    <font>
      <b/>
      <sz val="8.0"/>
      <color theme="1"/>
      <name val="Times New Roman"/>
    </font>
    <font>
      <sz val="10.0"/>
      <color rgb="FFA5A5A5"/>
      <name val="Arial"/>
    </font>
    <font>
      <sz val="9.0"/>
      <color rgb="FF000000"/>
      <name val="Times New Roman"/>
    </font>
    <font>
      <sz val="9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DDDDD"/>
        <bgColor rgb="FFDDDDDD"/>
      </patternFill>
    </fill>
    <fill>
      <patternFill patternType="solid">
        <fgColor rgb="FFCCCCCC"/>
        <bgColor rgb="FFCCCCCC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center"/>
    </xf>
    <xf borderId="1" fillId="0" fontId="2" numFmtId="0" xfId="0" applyAlignment="1" applyBorder="1" applyFont="1">
      <alignment horizontal="right" vertical="center"/>
    </xf>
    <xf borderId="2" fillId="0" fontId="3" numFmtId="0" xfId="0" applyBorder="1" applyFont="1"/>
    <xf borderId="3" fillId="0" fontId="3" numFmtId="0" xfId="0" applyBorder="1" applyFont="1"/>
    <xf borderId="1" fillId="0" fontId="1" numFmtId="0" xfId="0" applyAlignment="1" applyBorder="1" applyFont="1">
      <alignment horizontal="right" vertical="center"/>
    </xf>
    <xf borderId="4" fillId="0" fontId="2" numFmtId="4" xfId="0" applyBorder="1" applyFont="1" applyNumberFormat="1"/>
    <xf borderId="0" fillId="0" fontId="2" numFmtId="0" xfId="0" applyAlignment="1" applyFont="1">
      <alignment horizontal="center" vertical="center"/>
    </xf>
    <xf borderId="4" fillId="0" fontId="1" numFmtId="164" xfId="0" applyBorder="1" applyFont="1" applyNumberFormat="1"/>
    <xf borderId="0" fillId="0" fontId="2" numFmtId="164" xfId="0" applyFont="1" applyNumberFormat="1"/>
    <xf borderId="0" fillId="2" fontId="4" numFmtId="0" xfId="0" applyAlignment="1" applyFill="1" applyFont="1">
      <alignment horizontal="center"/>
    </xf>
    <xf borderId="5" fillId="2" fontId="5" numFmtId="0" xfId="0" applyAlignment="1" applyBorder="1" applyFont="1">
      <alignment horizontal="center"/>
    </xf>
    <xf borderId="4" fillId="2" fontId="4" numFmtId="0" xfId="0" applyAlignment="1" applyBorder="1" applyFont="1">
      <alignment horizontal="center"/>
    </xf>
    <xf borderId="5" fillId="2" fontId="5" numFmtId="0" xfId="0" applyAlignment="1" applyBorder="1" applyFont="1">
      <alignment horizontal="center" shrinkToFit="0" wrapText="1"/>
    </xf>
    <xf borderId="4" fillId="2" fontId="6" numFmtId="0" xfId="0" applyAlignment="1" applyBorder="1" applyFont="1">
      <alignment horizontal="center"/>
    </xf>
    <xf borderId="4" fillId="2" fontId="4" numFmtId="0" xfId="0" applyAlignment="1" applyBorder="1" applyFont="1">
      <alignment horizontal="center" readingOrder="0"/>
    </xf>
    <xf borderId="4" fillId="2" fontId="6" numFmtId="0" xfId="0" applyAlignment="1" applyBorder="1" applyFont="1">
      <alignment horizontal="center" readingOrder="0"/>
    </xf>
    <xf borderId="4" fillId="2" fontId="7" numFmtId="0" xfId="0" applyBorder="1" applyFont="1"/>
    <xf borderId="4" fillId="2" fontId="8" numFmtId="0" xfId="0" applyAlignment="1" applyBorder="1" applyFont="1">
      <alignment horizontal="center" shrinkToFit="0" wrapText="1"/>
    </xf>
    <xf borderId="4" fillId="2" fontId="4" numFmtId="0" xfId="0" applyAlignment="1" applyBorder="1" applyFont="1">
      <alignment horizontal="center" shrinkToFit="0" wrapText="1"/>
    </xf>
    <xf borderId="5" fillId="2" fontId="9" numFmtId="0" xfId="0" applyAlignment="1" applyBorder="1" applyFont="1">
      <alignment horizontal="center"/>
    </xf>
    <xf borderId="4" fillId="2" fontId="10" numFmtId="0" xfId="0" applyAlignment="1" applyBorder="1" applyFont="1">
      <alignment horizontal="center" readingOrder="0" vertical="bottom"/>
    </xf>
    <xf borderId="6" fillId="0" fontId="3" numFmtId="0" xfId="0" applyBorder="1" applyFont="1"/>
    <xf borderId="3" fillId="2" fontId="10" numFmtId="0" xfId="0" applyAlignment="1" applyBorder="1" applyFont="1">
      <alignment horizontal="center" readingOrder="0" vertical="bottom"/>
    </xf>
    <xf borderId="4" fillId="2" fontId="5" numFmtId="0" xfId="0" applyBorder="1" applyFont="1"/>
    <xf borderId="4" fillId="2" fontId="11" numFmtId="0" xfId="0" applyAlignment="1" applyBorder="1" applyFont="1">
      <alignment horizontal="center"/>
    </xf>
    <xf borderId="4" fillId="3" fontId="12" numFmtId="0" xfId="0" applyBorder="1" applyFill="1" applyFont="1"/>
    <xf borderId="0" fillId="0" fontId="13" numFmtId="0" xfId="0" applyFont="1"/>
    <xf borderId="0" fillId="0" fontId="14" numFmtId="0" xfId="0" applyFont="1"/>
    <xf borderId="0" fillId="0" fontId="12" numFmtId="0" xfId="0" applyFont="1"/>
    <xf borderId="0" fillId="0" fontId="15" numFmtId="0" xfId="0" applyFont="1"/>
    <xf borderId="4" fillId="0" fontId="13" numFmtId="0" xfId="0" applyBorder="1" applyFont="1"/>
    <xf borderId="4" fillId="0" fontId="0" numFmtId="0" xfId="0" applyBorder="1" applyFont="1"/>
    <xf borderId="4" fillId="0" fontId="0" numFmtId="0" xfId="0" applyAlignment="1" applyBorder="1" applyFont="1">
      <alignment horizontal="right" readingOrder="0" shrinkToFit="0" vertical="bottom" wrapText="0"/>
    </xf>
    <xf borderId="0" fillId="0" fontId="4" numFmtId="0" xfId="0" applyFont="1"/>
    <xf borderId="4" fillId="3" fontId="0" numFmtId="0" xfId="0" applyBorder="1" applyFont="1"/>
    <xf borderId="4" fillId="0" fontId="4" numFmtId="0" xfId="0" applyBorder="1" applyFont="1"/>
    <xf borderId="4" fillId="0" fontId="13" numFmtId="4" xfId="0" applyAlignment="1" applyBorder="1" applyFont="1" applyNumberFormat="1">
      <alignment horizontal="right"/>
    </xf>
    <xf borderId="4" fillId="0" fontId="0" numFmtId="2" xfId="0" applyBorder="1" applyFont="1" applyNumberFormat="1"/>
    <xf borderId="4" fillId="0" fontId="16" numFmtId="0" xfId="0" applyAlignment="1" applyBorder="1" applyFont="1">
      <alignment horizontal="right" readingOrder="0" shrinkToFit="0" vertical="bottom" wrapText="0"/>
    </xf>
    <xf borderId="4" fillId="0" fontId="13" numFmtId="165" xfId="0" applyBorder="1" applyFont="1" applyNumberFormat="1"/>
    <xf borderId="4" fillId="0" fontId="15" numFmtId="2" xfId="0" applyBorder="1" applyFont="1" applyNumberFormat="1"/>
    <xf borderId="4" fillId="0" fontId="17" numFmtId="2" xfId="0" applyBorder="1" applyFont="1" applyNumberFormat="1"/>
    <xf borderId="4" fillId="4" fontId="15" numFmtId="0" xfId="0" applyAlignment="1" applyBorder="1" applyFill="1" applyFont="1">
      <alignment horizontal="right"/>
    </xf>
    <xf borderId="4" fillId="0" fontId="0" numFmtId="166" xfId="0" applyBorder="1" applyFont="1" applyNumberFormat="1"/>
    <xf borderId="4" fillId="0" fontId="18" numFmtId="4" xfId="0" applyAlignment="1" applyBorder="1" applyFont="1" applyNumberFormat="1">
      <alignment horizontal="right" vertical="bottom"/>
    </xf>
    <xf borderId="4" fillId="4" fontId="15" numFmtId="2" xfId="0" applyBorder="1" applyFont="1" applyNumberFormat="1"/>
    <xf borderId="4" fillId="0" fontId="13" numFmtId="2" xfId="0" applyBorder="1" applyFont="1" applyNumberFormat="1"/>
    <xf borderId="0" fillId="3" fontId="18" numFmtId="0" xfId="0" applyAlignment="1" applyFont="1">
      <alignment horizontal="right" vertical="bottom"/>
    </xf>
    <xf borderId="4" fillId="3" fontId="18" numFmtId="0" xfId="0" applyAlignment="1" applyBorder="1" applyFont="1">
      <alignment horizontal="right" vertical="bottom"/>
    </xf>
    <xf borderId="4" fillId="0" fontId="15" numFmtId="4" xfId="0" applyBorder="1" applyFont="1" applyNumberFormat="1"/>
    <xf borderId="4" fillId="0" fontId="13" numFmtId="4" xfId="0" applyBorder="1" applyFont="1" applyNumberFormat="1"/>
    <xf borderId="4" fillId="0" fontId="15" numFmtId="4" xfId="0" applyAlignment="1" applyBorder="1" applyFont="1" applyNumberFormat="1">
      <alignment horizontal="right" vertical="bottom"/>
    </xf>
    <xf borderId="4" fillId="3" fontId="12" numFmtId="0" xfId="0" applyAlignment="1" applyBorder="1" applyFont="1">
      <alignment readingOrder="0"/>
    </xf>
    <xf borderId="4" fillId="0" fontId="15" numFmtId="2" xfId="0" applyAlignment="1" applyBorder="1" applyFont="1" applyNumberFormat="1">
      <alignment readingOrder="0"/>
    </xf>
    <xf borderId="4" fillId="3" fontId="0" numFmtId="0" xfId="0" applyAlignment="1" applyBorder="1" applyFont="1">
      <alignment readingOrder="0"/>
    </xf>
    <xf borderId="4" fillId="0" fontId="15" numFmtId="0" xfId="0" applyAlignment="1" applyBorder="1" applyFont="1">
      <alignment readingOrder="0"/>
    </xf>
    <xf borderId="4" fillId="3" fontId="13" numFmtId="0" xfId="0" applyBorder="1" applyFont="1"/>
    <xf borderId="4" fillId="0" fontId="15" numFmtId="164" xfId="0" applyBorder="1" applyFont="1" applyNumberFormat="1"/>
    <xf borderId="6" fillId="0" fontId="16" numFmtId="0" xfId="0" applyAlignment="1" applyBorder="1" applyFont="1">
      <alignment horizontal="right" readingOrder="0" shrinkToFit="0" vertical="bottom" wrapText="0"/>
    </xf>
    <xf borderId="4" fillId="4" fontId="15" numFmtId="0" xfId="0" applyBorder="1" applyFont="1"/>
    <xf borderId="0" fillId="3" fontId="4" numFmtId="0" xfId="0" applyFont="1"/>
    <xf borderId="4" fillId="3" fontId="4" numFmtId="0" xfId="0" applyBorder="1" applyFont="1"/>
    <xf borderId="0" fillId="0" fontId="19" numFmtId="0" xfId="0" applyFont="1"/>
    <xf borderId="4" fillId="0" fontId="18" numFmtId="4" xfId="0" applyAlignment="1" applyBorder="1" applyFont="1" applyNumberFormat="1">
      <alignment horizontal="right" readingOrder="0" vertical="bottom"/>
    </xf>
    <xf borderId="4" fillId="0" fontId="19" numFmtId="0" xfId="0" applyBorder="1" applyFont="1"/>
    <xf borderId="4" fillId="2" fontId="6" numFmtId="0" xfId="0" applyBorder="1" applyFont="1"/>
    <xf borderId="4" fillId="2" fontId="13" numFmtId="0" xfId="0" applyBorder="1" applyFont="1"/>
    <xf borderId="4" fillId="2" fontId="13" numFmtId="4" xfId="0" applyBorder="1" applyFont="1" applyNumberFormat="1"/>
    <xf borderId="4" fillId="2" fontId="6" numFmtId="165" xfId="0" applyBorder="1" applyFont="1" applyNumberFormat="1"/>
    <xf borderId="4" fillId="2" fontId="6" numFmtId="4" xfId="0" applyBorder="1" applyFont="1" applyNumberFormat="1"/>
    <xf borderId="0" fillId="0" fontId="0" numFmtId="0" xfId="0" applyFont="1"/>
    <xf borderId="4" fillId="0" fontId="13" numFmtId="0" xfId="0" applyAlignment="1" applyBorder="1" applyFont="1">
      <alignment horizontal="right"/>
    </xf>
    <xf borderId="4" fillId="0" fontId="11" numFmtId="0" xfId="0" applyBorder="1" applyFont="1"/>
    <xf borderId="4" fillId="0" fontId="15" numFmtId="0" xfId="0" applyBorder="1" applyFont="1"/>
    <xf borderId="4" fillId="0" fontId="11" numFmtId="0" xfId="0" applyAlignment="1" applyBorder="1" applyFont="1">
      <alignment horizontal="center"/>
    </xf>
    <xf borderId="4" fillId="0" fontId="11" numFmtId="2" xfId="0" applyBorder="1" applyFont="1" applyNumberFormat="1"/>
    <xf borderId="7" fillId="3" fontId="11" numFmtId="0" xfId="0" applyAlignment="1" applyBorder="1" applyFont="1">
      <alignment horizontal="center"/>
    </xf>
    <xf borderId="4" fillId="0" fontId="11" numFmtId="166" xfId="0" applyBorder="1" applyFont="1" applyNumberFormat="1"/>
    <xf borderId="4" fillId="5" fontId="11" numFmtId="0" xfId="0" applyAlignment="1" applyBorder="1" applyFill="1" applyFont="1">
      <alignment horizontal="center"/>
    </xf>
    <xf borderId="8" fillId="5" fontId="11" numFmtId="0" xfId="0" applyAlignment="1" applyBorder="1" applyFont="1">
      <alignment horizontal="center"/>
    </xf>
    <xf borderId="4" fillId="3" fontId="20" numFmtId="0" xfId="0" applyBorder="1" applyFont="1"/>
    <xf borderId="9" fillId="5" fontId="11" numFmtId="0" xfId="0" applyAlignment="1" applyBorder="1" applyFont="1">
      <alignment horizontal="center"/>
    </xf>
    <xf borderId="4" fillId="0" fontId="0" numFmtId="167" xfId="0" applyBorder="1" applyFont="1" applyNumberFormat="1"/>
    <xf borderId="1" fillId="5" fontId="11" numFmtId="0" xfId="0" applyAlignment="1" applyBorder="1" applyFont="1">
      <alignment horizontal="center" vertical="center"/>
    </xf>
    <xf borderId="4" fillId="5" fontId="11" numFmtId="164" xfId="0" applyBorder="1" applyFont="1" applyNumberFormat="1"/>
    <xf borderId="4" fillId="0" fontId="0" numFmtId="4" xfId="0" applyBorder="1" applyFont="1" applyNumberFormat="1"/>
    <xf borderId="4" fillId="0" fontId="17" numFmtId="168" xfId="0" applyBorder="1" applyFont="1" applyNumberFormat="1"/>
    <xf borderId="4" fillId="0" fontId="0" numFmtId="4" xfId="0" applyAlignment="1" applyBorder="1" applyFont="1" applyNumberFormat="1">
      <alignment horizontal="right"/>
    </xf>
    <xf borderId="1" fillId="0" fontId="0" numFmtId="4" xfId="0" applyAlignment="1" applyBorder="1" applyFont="1" applyNumberFormat="1">
      <alignment horizontal="right"/>
    </xf>
    <xf borderId="10" fillId="0" fontId="0" numFmtId="4" xfId="0" applyAlignment="1" applyBorder="1" applyFont="1" applyNumberFormat="1">
      <alignment horizontal="right"/>
    </xf>
    <xf borderId="4" fillId="6" fontId="11" numFmtId="0" xfId="0" applyAlignment="1" applyBorder="1" applyFill="1" applyFont="1">
      <alignment horizontal="center"/>
    </xf>
    <xf borderId="4" fillId="0" fontId="0" numFmtId="10" xfId="0" applyBorder="1" applyFont="1" applyNumberFormat="1"/>
    <xf borderId="4" fillId="4" fontId="15" numFmtId="0" xfId="0" applyAlignment="1" applyBorder="1" applyFont="1">
      <alignment readingOrder="0"/>
    </xf>
    <xf borderId="4" fillId="0" fontId="0" numFmtId="164" xfId="0" applyBorder="1" applyFont="1" applyNumberFormat="1"/>
    <xf borderId="4" fillId="4" fontId="15" numFmtId="2" xfId="0" applyAlignment="1" applyBorder="1" applyFont="1" applyNumberFormat="1">
      <alignment readingOrder="0"/>
    </xf>
    <xf borderId="4" fillId="0" fontId="15" numFmtId="4" xfId="0" applyAlignment="1" applyBorder="1" applyFont="1" applyNumberFormat="1">
      <alignment horizontal="right" readingOrder="0" vertical="bottom"/>
    </xf>
    <xf borderId="0" fillId="0" fontId="0" numFmtId="164" xfId="0" applyFont="1" applyNumberFormat="1"/>
    <xf borderId="4" fillId="4" fontId="4" numFmtId="0" xfId="0" applyBorder="1" applyFont="1"/>
    <xf borderId="4" fillId="4" fontId="4" numFmtId="2" xfId="0" applyBorder="1" applyFont="1" applyNumberFormat="1"/>
    <xf borderId="4" fillId="0" fontId="4" numFmtId="165" xfId="0" applyBorder="1" applyFont="1" applyNumberFormat="1"/>
    <xf borderId="4" fillId="0" fontId="4" numFmtId="2" xfId="0" applyBorder="1" applyFont="1" applyNumberFormat="1"/>
    <xf borderId="4" fillId="0" fontId="4" numFmtId="0" xfId="0" applyBorder="1" applyFont="1"/>
    <xf borderId="4" fillId="6" fontId="11" numFmtId="0" xfId="0" applyBorder="1" applyFont="1"/>
    <xf borderId="4" fillId="6" fontId="11" numFmtId="166" xfId="0" applyBorder="1" applyFont="1" applyNumberFormat="1"/>
    <xf borderId="4" fillId="0" fontId="4" numFmtId="164" xfId="0" applyBorder="1" applyFont="1" applyNumberFormat="1"/>
    <xf borderId="4" fillId="6" fontId="11" numFmtId="166" xfId="0" applyAlignment="1" applyBorder="1" applyFont="1" applyNumberFormat="1">
      <alignment horizontal="right"/>
    </xf>
    <xf borderId="1" fillId="6" fontId="11" numFmtId="166" xfId="0" applyAlignment="1" applyBorder="1" applyFont="1" applyNumberFormat="1">
      <alignment horizontal="right"/>
    </xf>
    <xf borderId="4" fillId="3" fontId="11" numFmtId="2" xfId="0" applyBorder="1" applyFont="1" applyNumberFormat="1"/>
    <xf borderId="11" fillId="6" fontId="1" numFmtId="166" xfId="0" applyAlignment="1" applyBorder="1" applyFont="1" applyNumberFormat="1">
      <alignment horizontal="right"/>
    </xf>
    <xf borderId="4" fillId="0" fontId="15" numFmtId="0" xfId="0" applyBorder="1" applyFont="1"/>
    <xf borderId="0" fillId="0" fontId="21" numFmtId="0" xfId="0" applyFont="1"/>
    <xf borderId="0" fillId="0" fontId="22" numFmtId="0" xfId="0" applyFont="1"/>
    <xf borderId="7" fillId="3" fontId="21" numFmtId="0" xfId="0" applyBorder="1" applyFont="1"/>
    <xf borderId="0" fillId="3" fontId="21" numFmtId="0" xfId="0" applyFont="1"/>
    <xf borderId="0" fillId="4" fontId="21" numFmtId="0" xfId="0" applyFont="1"/>
    <xf borderId="7" fillId="4" fontId="21" numFmtId="0" xfId="0" applyBorder="1" applyFont="1"/>
    <xf borderId="0" fillId="0" fontId="2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8.14"/>
    <col customWidth="1" min="3" max="4" width="12.0"/>
    <col customWidth="1" min="5" max="5" width="8.43"/>
    <col customWidth="1" min="6" max="6" width="6.71"/>
    <col customWidth="1" min="7" max="7" width="8.71"/>
    <col customWidth="1" min="8" max="8" width="3.71"/>
    <col customWidth="1" min="9" max="9" width="9.0"/>
    <col customWidth="1" min="10" max="10" width="12.0"/>
    <col customWidth="1" hidden="1" min="11" max="11" width="18.57"/>
    <col customWidth="1" min="12" max="12" width="19.43"/>
    <col customWidth="1" min="13" max="13" width="9.29"/>
    <col customWidth="1" min="14" max="14" width="12.29"/>
    <col customWidth="1" min="15" max="15" width="16.29"/>
    <col customWidth="1" min="16" max="17" width="4.0"/>
    <col customWidth="1" min="18" max="18" width="15.0"/>
    <col customWidth="1" min="19" max="20" width="9.0"/>
    <col customWidth="1" min="21" max="21" width="17.57"/>
    <col customWidth="1" min="22" max="32" width="9.86"/>
  </cols>
  <sheetData>
    <row r="1" ht="14.25" customHeight="1">
      <c r="A1" s="1"/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8">
        <f>GERAL!J5</f>
        <v>128000</v>
      </c>
    </row>
    <row r="2" ht="14.25" customHeight="1"/>
    <row r="3" ht="14.25" customHeight="1">
      <c r="A3" s="10"/>
      <c r="B3" s="12" t="s">
        <v>1</v>
      </c>
      <c r="C3" s="15" t="s">
        <v>4</v>
      </c>
      <c r="D3" s="15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5" t="s">
        <v>15</v>
      </c>
      <c r="J3" s="19" t="s">
        <v>17</v>
      </c>
      <c r="K3" s="21" t="s">
        <v>27</v>
      </c>
      <c r="L3" s="21" t="s">
        <v>28</v>
      </c>
      <c r="M3" s="23" t="s">
        <v>29</v>
      </c>
      <c r="N3" s="23" t="s">
        <v>31</v>
      </c>
      <c r="O3" s="23" t="s">
        <v>32</v>
      </c>
      <c r="P3" s="12" t="s">
        <v>23</v>
      </c>
      <c r="Q3" s="12" t="s">
        <v>24</v>
      </c>
      <c r="R3" s="12" t="s">
        <v>26</v>
      </c>
      <c r="T3" s="25" t="s">
        <v>33</v>
      </c>
      <c r="U3" s="25" t="s">
        <v>35</v>
      </c>
    </row>
    <row r="4" ht="14.25" customHeight="1">
      <c r="A4" s="28"/>
      <c r="B4" s="28"/>
      <c r="C4" s="28"/>
      <c r="D4" s="28"/>
      <c r="E4" s="28"/>
      <c r="F4" s="28"/>
      <c r="G4" s="28"/>
      <c r="H4" s="28"/>
      <c r="I4" s="28"/>
      <c r="J4" s="30"/>
      <c r="K4" s="28"/>
      <c r="L4" s="28"/>
      <c r="M4" s="28"/>
      <c r="N4" s="28"/>
      <c r="O4" s="28"/>
      <c r="P4" s="28"/>
      <c r="Q4" s="28"/>
      <c r="R4" s="28"/>
      <c r="T4" s="32"/>
      <c r="U4" s="32"/>
    </row>
    <row r="5" ht="14.25" customHeight="1">
      <c r="A5" s="34"/>
      <c r="B5" s="36" t="s">
        <v>34</v>
      </c>
      <c r="C5" s="39">
        <v>162.75</v>
      </c>
      <c r="D5" s="39">
        <v>249.5</v>
      </c>
      <c r="E5" s="41">
        <f t="shared" ref="E5:E27" si="1">C5/D5</f>
        <v>0.6523046092</v>
      </c>
      <c r="F5" s="43">
        <v>1.0</v>
      </c>
      <c r="G5" s="46">
        <v>3.0</v>
      </c>
      <c r="H5" s="41">
        <f t="shared" ref="H5:H27" si="2">(C5/D5)*(G5/F5)</f>
        <v>1.956913828</v>
      </c>
      <c r="I5" s="50">
        <v>0.042879449478088916</v>
      </c>
      <c r="J5" s="52">
        <v>0.81</v>
      </c>
      <c r="K5" s="54">
        <f>(138/1192)</f>
        <v>0.1157718121</v>
      </c>
      <c r="L5" s="54">
        <f t="shared" ref="L5:L27" si="3">(K5/K$28)</f>
        <v>0.04635129413</v>
      </c>
      <c r="M5" s="56">
        <v>9658.0</v>
      </c>
      <c r="N5" s="41">
        <f t="shared" ref="N5:N27" si="4">(M5/M$28)</f>
        <v>0.1535331055</v>
      </c>
      <c r="O5" s="41">
        <f t="shared" ref="O5:O27" si="5">(I5+(I5*L5)+(I5*N5))</f>
        <v>0.05145038249</v>
      </c>
      <c r="P5" s="41">
        <f>(H5*J5*O5)</f>
        <v>0.0815540116</v>
      </c>
      <c r="Q5" s="41">
        <f t="shared" ref="Q5:Q27" si="6">P5/$P$28</f>
        <v>0.04250181286</v>
      </c>
      <c r="R5" s="58">
        <f t="shared" ref="R5:R27" si="7">$R$1*Q5</f>
        <v>5440.232047</v>
      </c>
      <c r="T5" s="38">
        <f t="shared" ref="T5:T27" si="8">U5/$U$28</f>
        <v>0.04287944948</v>
      </c>
      <c r="U5" s="38">
        <v>758.2</v>
      </c>
    </row>
    <row r="6" ht="14.25" customHeight="1">
      <c r="A6" s="34"/>
      <c r="B6" s="36" t="s">
        <v>36</v>
      </c>
      <c r="C6" s="59">
        <v>169.5</v>
      </c>
      <c r="D6" s="59">
        <v>267.5</v>
      </c>
      <c r="E6" s="41">
        <f t="shared" si="1"/>
        <v>0.6336448598</v>
      </c>
      <c r="F6" s="43">
        <v>4.0</v>
      </c>
      <c r="G6" s="46">
        <v>15.0</v>
      </c>
      <c r="H6" s="41">
        <f t="shared" si="2"/>
        <v>2.376168224</v>
      </c>
      <c r="I6" s="50">
        <v>0.12987349374764245</v>
      </c>
      <c r="J6" s="52">
        <v>0.85</v>
      </c>
      <c r="K6" s="54">
        <f>(171/1109)</f>
        <v>0.1541929666</v>
      </c>
      <c r="L6" s="54">
        <f t="shared" si="3"/>
        <v>0.06173388341</v>
      </c>
      <c r="M6" s="56">
        <v>668.0</v>
      </c>
      <c r="N6" s="41">
        <f t="shared" si="4"/>
        <v>0.01061918766</v>
      </c>
      <c r="O6" s="41">
        <f t="shared" si="5"/>
        <v>0.1392702399</v>
      </c>
      <c r="P6" s="41">
        <f t="shared" ref="P6:P27" si="9">(H6*I6*J6)</f>
        <v>0.2623110787</v>
      </c>
      <c r="Q6" s="41">
        <f t="shared" si="6"/>
        <v>0.1367032248</v>
      </c>
      <c r="R6" s="58">
        <f t="shared" si="7"/>
        <v>17498.01277</v>
      </c>
      <c r="T6" s="38">
        <f t="shared" si="8"/>
        <v>0.1298734937</v>
      </c>
      <c r="U6" s="38">
        <v>2296.44</v>
      </c>
    </row>
    <row r="7" ht="14.25" customHeight="1">
      <c r="A7" s="34"/>
      <c r="B7" s="36" t="s">
        <v>37</v>
      </c>
      <c r="C7" s="59">
        <v>48.75</v>
      </c>
      <c r="D7" s="59">
        <v>61.5</v>
      </c>
      <c r="E7" s="41">
        <f t="shared" si="1"/>
        <v>0.7926829268</v>
      </c>
      <c r="F7" s="60">
        <v>1.0</v>
      </c>
      <c r="G7" s="46">
        <v>4.0</v>
      </c>
      <c r="H7" s="41">
        <f t="shared" si="2"/>
        <v>3.170731707</v>
      </c>
      <c r="I7" s="50">
        <v>0.024360187375615957</v>
      </c>
      <c r="J7" s="52">
        <v>0.78</v>
      </c>
      <c r="K7" s="54">
        <f>(15/280)</f>
        <v>0.05357142857</v>
      </c>
      <c r="L7" s="54">
        <f t="shared" si="3"/>
        <v>0.02144826964</v>
      </c>
      <c r="M7" s="56">
        <v>720.0</v>
      </c>
      <c r="N7" s="41">
        <f t="shared" si="4"/>
        <v>0.01144583102</v>
      </c>
      <c r="O7" s="41">
        <f t="shared" si="5"/>
        <v>0.02516149383</v>
      </c>
      <c r="P7" s="41">
        <f t="shared" si="9"/>
        <v>0.06024690244</v>
      </c>
      <c r="Q7" s="41">
        <f t="shared" si="6"/>
        <v>0.03139762867</v>
      </c>
      <c r="R7" s="58">
        <f t="shared" si="7"/>
        <v>4018.89647</v>
      </c>
      <c r="T7" s="38">
        <f t="shared" si="8"/>
        <v>0.02436018738</v>
      </c>
      <c r="U7" s="38">
        <v>430.74</v>
      </c>
    </row>
    <row r="8" ht="14.25" customHeight="1">
      <c r="A8" s="61"/>
      <c r="B8" s="62" t="s">
        <v>38</v>
      </c>
      <c r="C8" s="59">
        <v>90.0</v>
      </c>
      <c r="D8" s="59">
        <v>187.75</v>
      </c>
      <c r="E8" s="41">
        <f t="shared" si="1"/>
        <v>0.4793608522</v>
      </c>
      <c r="F8" s="60">
        <v>5.0</v>
      </c>
      <c r="G8" s="46">
        <v>18.0</v>
      </c>
      <c r="H8" s="41">
        <f t="shared" si="2"/>
        <v>1.725699068</v>
      </c>
      <c r="I8" s="50">
        <v>0.031039246968549615</v>
      </c>
      <c r="J8" s="52">
        <v>0.89</v>
      </c>
      <c r="K8" s="54">
        <f>(313+19)/804</f>
        <v>0.4129353234</v>
      </c>
      <c r="L8" s="54">
        <f t="shared" si="3"/>
        <v>0.1653259657</v>
      </c>
      <c r="M8" s="56">
        <v>2150.0</v>
      </c>
      <c r="N8" s="41">
        <f t="shared" si="4"/>
        <v>0.03417852317</v>
      </c>
      <c r="O8" s="41">
        <f t="shared" si="5"/>
        <v>0.03723171607</v>
      </c>
      <c r="P8" s="41">
        <f t="shared" si="9"/>
        <v>0.04767231561</v>
      </c>
      <c r="Q8" s="41">
        <f t="shared" si="6"/>
        <v>0.02484439204</v>
      </c>
      <c r="R8" s="58">
        <f t="shared" si="7"/>
        <v>3180.082182</v>
      </c>
      <c r="T8" s="38">
        <f t="shared" si="8"/>
        <v>0.03103924697</v>
      </c>
      <c r="U8" s="38">
        <v>548.84</v>
      </c>
    </row>
    <row r="9" ht="14.25" customHeight="1">
      <c r="A9" s="63"/>
      <c r="B9" s="65" t="s">
        <v>39</v>
      </c>
      <c r="C9" s="59">
        <v>78.75</v>
      </c>
      <c r="D9" s="59">
        <v>88.25</v>
      </c>
      <c r="E9" s="41">
        <f t="shared" si="1"/>
        <v>0.8923512748</v>
      </c>
      <c r="F9" s="60">
        <v>1.0</v>
      </c>
      <c r="G9" s="46">
        <v>4.0</v>
      </c>
      <c r="H9" s="41">
        <f t="shared" si="2"/>
        <v>3.569405099</v>
      </c>
      <c r="I9" s="50">
        <v>0.132105690886788</v>
      </c>
      <c r="J9" s="52">
        <v>0.66</v>
      </c>
      <c r="K9" s="54">
        <f>(31/600)</f>
        <v>0.05166666667</v>
      </c>
      <c r="L9" s="54">
        <f t="shared" si="3"/>
        <v>0.0206856645</v>
      </c>
      <c r="M9" s="56">
        <v>80.0</v>
      </c>
      <c r="N9" s="41">
        <f t="shared" si="4"/>
        <v>0.001271759002</v>
      </c>
      <c r="O9" s="41">
        <f t="shared" si="5"/>
        <v>0.1350063915</v>
      </c>
      <c r="P9" s="41">
        <f t="shared" si="9"/>
        <v>0.3112155596</v>
      </c>
      <c r="Q9" s="41">
        <f t="shared" si="6"/>
        <v>0.1621897589</v>
      </c>
      <c r="R9" s="58">
        <f t="shared" si="7"/>
        <v>20760.28913</v>
      </c>
      <c r="T9" s="38">
        <f t="shared" si="8"/>
        <v>0.1321056909</v>
      </c>
      <c r="U9" s="38">
        <v>2335.91</v>
      </c>
    </row>
    <row r="10" ht="14.25" customHeight="1">
      <c r="A10" s="34"/>
      <c r="B10" s="36" t="s">
        <v>40</v>
      </c>
      <c r="C10" s="59">
        <v>36.5</v>
      </c>
      <c r="D10" s="59">
        <v>61.25</v>
      </c>
      <c r="E10" s="41">
        <f t="shared" si="1"/>
        <v>0.5959183673</v>
      </c>
      <c r="F10" s="60">
        <v>1.0</v>
      </c>
      <c r="G10" s="46">
        <v>4.0</v>
      </c>
      <c r="H10" s="41">
        <f t="shared" si="2"/>
        <v>2.383673469</v>
      </c>
      <c r="I10" s="50">
        <v>0.03478766415584549</v>
      </c>
      <c r="J10" s="52">
        <v>1.0</v>
      </c>
      <c r="K10" s="54">
        <f>(22/295)</f>
        <v>0.07457627119</v>
      </c>
      <c r="L10" s="54">
        <f t="shared" si="3"/>
        <v>0.02985793017</v>
      </c>
      <c r="M10" s="56">
        <v>1234.0</v>
      </c>
      <c r="N10" s="41">
        <f t="shared" si="4"/>
        <v>0.0196168826</v>
      </c>
      <c r="O10" s="41">
        <f t="shared" si="5"/>
        <v>0.03650877733</v>
      </c>
      <c r="P10" s="41">
        <f t="shared" si="9"/>
        <v>0.08292243211</v>
      </c>
      <c r="Q10" s="41">
        <f t="shared" si="6"/>
        <v>0.0432149642</v>
      </c>
      <c r="R10" s="58">
        <f t="shared" si="7"/>
        <v>5531.515418</v>
      </c>
      <c r="T10" s="38">
        <f t="shared" si="8"/>
        <v>0.03478766416</v>
      </c>
      <c r="U10" s="38">
        <v>615.12</v>
      </c>
    </row>
    <row r="11" ht="14.25" customHeight="1">
      <c r="A11" s="34"/>
      <c r="B11" s="36" t="s">
        <v>41</v>
      </c>
      <c r="C11" s="59">
        <v>89.0</v>
      </c>
      <c r="D11" s="59">
        <v>135.25</v>
      </c>
      <c r="E11" s="41">
        <f t="shared" si="1"/>
        <v>0.6580406654</v>
      </c>
      <c r="F11" s="60">
        <v>2.0</v>
      </c>
      <c r="G11" s="46">
        <v>7.5</v>
      </c>
      <c r="H11" s="41">
        <f t="shared" si="2"/>
        <v>2.467652495</v>
      </c>
      <c r="I11" s="50">
        <v>0.04569302453946444</v>
      </c>
      <c r="J11" s="52">
        <v>0.71</v>
      </c>
      <c r="K11" s="54">
        <f>(9/722)</f>
        <v>0.01246537396</v>
      </c>
      <c r="L11" s="54">
        <f t="shared" si="3"/>
        <v>0.004990733103</v>
      </c>
      <c r="M11" s="56">
        <v>300.0</v>
      </c>
      <c r="N11" s="41">
        <f t="shared" si="4"/>
        <v>0.004769096256</v>
      </c>
      <c r="O11" s="41">
        <f t="shared" si="5"/>
        <v>0.04613898066</v>
      </c>
      <c r="P11" s="41">
        <f t="shared" si="9"/>
        <v>0.08005569928</v>
      </c>
      <c r="Q11" s="41">
        <f t="shared" si="6"/>
        <v>0.04172096851</v>
      </c>
      <c r="R11" s="58">
        <f t="shared" si="7"/>
        <v>5340.283969</v>
      </c>
      <c r="T11" s="38">
        <f t="shared" si="8"/>
        <v>0.04569302454</v>
      </c>
      <c r="U11" s="38">
        <v>807.95</v>
      </c>
    </row>
    <row r="12" ht="14.25" customHeight="1">
      <c r="A12" s="34"/>
      <c r="B12" s="36" t="s">
        <v>42</v>
      </c>
      <c r="C12" s="59">
        <v>153.75</v>
      </c>
      <c r="D12" s="59">
        <v>158.5</v>
      </c>
      <c r="E12" s="41">
        <f t="shared" si="1"/>
        <v>0.9700315457</v>
      </c>
      <c r="F12" s="60">
        <v>1.0</v>
      </c>
      <c r="G12" s="46">
        <v>3.0</v>
      </c>
      <c r="H12" s="41">
        <f t="shared" si="2"/>
        <v>2.910094637</v>
      </c>
      <c r="I12" s="50">
        <v>0.036121213903528605</v>
      </c>
      <c r="J12" s="52">
        <v>0.98</v>
      </c>
      <c r="K12" s="54">
        <f>(6/863)</f>
        <v>0.006952491309</v>
      </c>
      <c r="L12" s="54">
        <f t="shared" si="3"/>
        <v>0.002783552955</v>
      </c>
      <c r="M12" s="56">
        <v>640.0</v>
      </c>
      <c r="N12" s="41">
        <f t="shared" si="4"/>
        <v>0.01017407201</v>
      </c>
      <c r="O12" s="41">
        <f t="shared" si="5"/>
        <v>0.03658925905</v>
      </c>
      <c r="P12" s="41">
        <f t="shared" si="9"/>
        <v>0.1030138279</v>
      </c>
      <c r="Q12" s="41">
        <f t="shared" si="6"/>
        <v>0.05368558024</v>
      </c>
      <c r="R12" s="58">
        <f t="shared" si="7"/>
        <v>6871.754271</v>
      </c>
      <c r="T12" s="38">
        <f t="shared" si="8"/>
        <v>0.0361212139</v>
      </c>
      <c r="U12" s="38">
        <v>638.7</v>
      </c>
    </row>
    <row r="13" ht="14.25" customHeight="1">
      <c r="A13" s="34"/>
      <c r="B13" s="36" t="s">
        <v>43</v>
      </c>
      <c r="C13" s="59">
        <v>255.75</v>
      </c>
      <c r="D13" s="59">
        <v>401.25</v>
      </c>
      <c r="E13" s="41">
        <f t="shared" si="1"/>
        <v>0.6373831776</v>
      </c>
      <c r="F13" s="60">
        <v>3.0</v>
      </c>
      <c r="G13" s="46">
        <v>10.0</v>
      </c>
      <c r="H13" s="41">
        <f t="shared" si="2"/>
        <v>2.124610592</v>
      </c>
      <c r="I13" s="50">
        <v>0.06189695472208385</v>
      </c>
      <c r="J13" s="52">
        <v>0.93</v>
      </c>
      <c r="K13" s="54">
        <f>(28/1878)</f>
        <v>0.01490947817</v>
      </c>
      <c r="L13" s="54">
        <f t="shared" si="3"/>
        <v>0.005969273483</v>
      </c>
      <c r="M13" s="56">
        <v>436.0</v>
      </c>
      <c r="N13" s="41">
        <f t="shared" si="4"/>
        <v>0.006931086559</v>
      </c>
      <c r="O13" s="41">
        <f t="shared" si="5"/>
        <v>0.06269544772</v>
      </c>
      <c r="P13" s="41">
        <f t="shared" si="9"/>
        <v>0.1223014408</v>
      </c>
      <c r="Q13" s="41">
        <f t="shared" si="6"/>
        <v>0.06373730548</v>
      </c>
      <c r="R13" s="58">
        <f t="shared" si="7"/>
        <v>8158.375102</v>
      </c>
      <c r="T13" s="38">
        <f t="shared" si="8"/>
        <v>0.06189695472</v>
      </c>
      <c r="U13" s="38">
        <v>1094.47</v>
      </c>
    </row>
    <row r="14" ht="14.25" customHeight="1">
      <c r="A14" s="34"/>
      <c r="B14" s="36" t="s">
        <v>44</v>
      </c>
      <c r="C14" s="59">
        <v>52.5</v>
      </c>
      <c r="D14" s="59">
        <v>61.75</v>
      </c>
      <c r="E14" s="41">
        <f t="shared" si="1"/>
        <v>0.8502024291</v>
      </c>
      <c r="F14" s="60">
        <v>1.0</v>
      </c>
      <c r="G14" s="46">
        <v>3.0</v>
      </c>
      <c r="H14" s="41">
        <f t="shared" si="2"/>
        <v>2.550607287</v>
      </c>
      <c r="I14" s="50">
        <v>0.07405159898722612</v>
      </c>
      <c r="J14" s="52">
        <v>0.97</v>
      </c>
      <c r="K14" s="54">
        <f>(6/269)</f>
        <v>0.02230483271</v>
      </c>
      <c r="L14" s="54">
        <f t="shared" si="3"/>
        <v>0.008930134573</v>
      </c>
      <c r="M14" s="74"/>
      <c r="N14" s="41">
        <f t="shared" si="4"/>
        <v>0</v>
      </c>
      <c r="O14" s="41">
        <f t="shared" si="5"/>
        <v>0.07471288973</v>
      </c>
      <c r="P14" s="41">
        <f t="shared" si="9"/>
        <v>0.1832102516</v>
      </c>
      <c r="Q14" s="41">
        <f t="shared" si="6"/>
        <v>0.09547988719</v>
      </c>
      <c r="R14" s="58">
        <f t="shared" si="7"/>
        <v>12221.42556</v>
      </c>
      <c r="T14" s="38">
        <f t="shared" si="8"/>
        <v>0.07405159899</v>
      </c>
      <c r="U14" s="38">
        <v>1309.39</v>
      </c>
    </row>
    <row r="15" ht="14.25" customHeight="1">
      <c r="A15" s="34"/>
      <c r="B15" s="36" t="s">
        <v>45</v>
      </c>
      <c r="C15" s="59">
        <v>121.25</v>
      </c>
      <c r="D15" s="59">
        <v>139.75</v>
      </c>
      <c r="E15" s="41">
        <f t="shared" si="1"/>
        <v>0.8676207513</v>
      </c>
      <c r="F15" s="60">
        <v>1.0</v>
      </c>
      <c r="G15" s="46">
        <v>4.0</v>
      </c>
      <c r="H15" s="41">
        <f t="shared" si="2"/>
        <v>3.470483005</v>
      </c>
      <c r="I15" s="50">
        <v>0.021320960766604485</v>
      </c>
      <c r="J15" s="52">
        <v>0.9</v>
      </c>
      <c r="K15" s="54">
        <f>(16/592)</f>
        <v>0.02702702703</v>
      </c>
      <c r="L15" s="54">
        <f t="shared" si="3"/>
        <v>0.01082074865</v>
      </c>
      <c r="M15" s="74"/>
      <c r="N15" s="41">
        <f t="shared" si="4"/>
        <v>0</v>
      </c>
      <c r="O15" s="41">
        <f t="shared" si="5"/>
        <v>0.02155166952</v>
      </c>
      <c r="P15" s="41">
        <f t="shared" si="9"/>
        <v>0.0665946288</v>
      </c>
      <c r="Q15" s="41">
        <f t="shared" si="6"/>
        <v>0.03470574158</v>
      </c>
      <c r="R15" s="58">
        <f t="shared" si="7"/>
        <v>4442.334922</v>
      </c>
      <c r="T15" s="38">
        <f t="shared" si="8"/>
        <v>0.02132096077</v>
      </c>
      <c r="U15" s="38">
        <v>377.0</v>
      </c>
    </row>
    <row r="16" ht="14.25" customHeight="1">
      <c r="A16" s="34"/>
      <c r="B16" s="36" t="s">
        <v>46</v>
      </c>
      <c r="C16" s="59">
        <v>25.5</v>
      </c>
      <c r="D16" s="59">
        <v>143.25</v>
      </c>
      <c r="E16" s="41">
        <f t="shared" si="1"/>
        <v>0.1780104712</v>
      </c>
      <c r="F16" s="60">
        <v>2.0</v>
      </c>
      <c r="G16" s="46">
        <v>8.0</v>
      </c>
      <c r="H16" s="41">
        <f t="shared" si="2"/>
        <v>0.7120418848</v>
      </c>
      <c r="I16" s="50">
        <v>0.030595861471440385</v>
      </c>
      <c r="J16" s="52">
        <v>0.85</v>
      </c>
      <c r="K16" s="54">
        <f>(86/544)</f>
        <v>0.1580882353</v>
      </c>
      <c r="L16" s="54">
        <f t="shared" si="3"/>
        <v>0.06329342316</v>
      </c>
      <c r="M16" s="56">
        <v>1000.0</v>
      </c>
      <c r="N16" s="41">
        <f t="shared" si="4"/>
        <v>0.01589698752</v>
      </c>
      <c r="O16" s="41">
        <f t="shared" si="5"/>
        <v>0.03301876031</v>
      </c>
      <c r="P16" s="41">
        <f t="shared" si="9"/>
        <v>0.01851770464</v>
      </c>
      <c r="Q16" s="41">
        <f t="shared" si="6"/>
        <v>0.009650488085</v>
      </c>
      <c r="R16" s="58">
        <f t="shared" si="7"/>
        <v>1235.262475</v>
      </c>
      <c r="T16" s="38">
        <f t="shared" si="8"/>
        <v>0.03059586147</v>
      </c>
      <c r="U16" s="38">
        <v>541.0</v>
      </c>
    </row>
    <row r="17" ht="14.25" customHeight="1">
      <c r="A17" s="34"/>
      <c r="B17" s="36" t="s">
        <v>47</v>
      </c>
      <c r="C17" s="59">
        <v>17.0</v>
      </c>
      <c r="D17" s="59">
        <v>67.75</v>
      </c>
      <c r="E17" s="41">
        <f t="shared" si="1"/>
        <v>0.2509225092</v>
      </c>
      <c r="F17" s="60">
        <v>1.0</v>
      </c>
      <c r="G17" s="46">
        <v>4.0</v>
      </c>
      <c r="H17" s="41">
        <f t="shared" si="2"/>
        <v>1.003690037</v>
      </c>
      <c r="I17" s="50">
        <v>0.013038587545731204</v>
      </c>
      <c r="J17" s="52">
        <v>0.99</v>
      </c>
      <c r="K17" s="54">
        <f>(42/180)</f>
        <v>0.2333333333</v>
      </c>
      <c r="L17" s="54">
        <f t="shared" si="3"/>
        <v>0.09341913</v>
      </c>
      <c r="M17" s="74"/>
      <c r="N17" s="41">
        <f t="shared" si="4"/>
        <v>0</v>
      </c>
      <c r="O17" s="41">
        <f t="shared" si="5"/>
        <v>0.01425664105</v>
      </c>
      <c r="P17" s="41">
        <f t="shared" si="9"/>
        <v>0.01295583341</v>
      </c>
      <c r="Q17" s="41">
        <f t="shared" si="6"/>
        <v>0.006751923006</v>
      </c>
      <c r="R17" s="58">
        <f t="shared" si="7"/>
        <v>864.2461447</v>
      </c>
      <c r="T17" s="38">
        <f t="shared" si="8"/>
        <v>0.01303858755</v>
      </c>
      <c r="U17" s="38">
        <v>230.55</v>
      </c>
    </row>
    <row r="18" ht="14.25" customHeight="1">
      <c r="A18" s="34"/>
      <c r="B18" s="36" t="s">
        <v>48</v>
      </c>
      <c r="C18" s="59">
        <v>94.75</v>
      </c>
      <c r="D18" s="59">
        <v>130.5</v>
      </c>
      <c r="E18" s="41">
        <f t="shared" si="1"/>
        <v>0.7260536398</v>
      </c>
      <c r="F18" s="60">
        <v>2.0</v>
      </c>
      <c r="G18" s="46">
        <v>6.0</v>
      </c>
      <c r="H18" s="41">
        <f t="shared" si="2"/>
        <v>2.17816092</v>
      </c>
      <c r="I18" s="50">
        <v>0.03799768466808016</v>
      </c>
      <c r="J18" s="52">
        <v>0.99</v>
      </c>
      <c r="K18" s="54">
        <f>(38/599)</f>
        <v>0.06343906511</v>
      </c>
      <c r="L18" s="54">
        <f t="shared" si="3"/>
        <v>0.02539895259</v>
      </c>
      <c r="M18" s="56">
        <v>27773.0</v>
      </c>
      <c r="N18" s="41">
        <f t="shared" si="4"/>
        <v>0.4415070344</v>
      </c>
      <c r="O18" s="41">
        <f t="shared" si="5"/>
        <v>0.05573903113</v>
      </c>
      <c r="P18" s="41">
        <f t="shared" si="9"/>
        <v>0.08193742106</v>
      </c>
      <c r="Q18" s="41">
        <f t="shared" si="6"/>
        <v>0.04270162642</v>
      </c>
      <c r="R18" s="58">
        <f t="shared" si="7"/>
        <v>5465.808182</v>
      </c>
      <c r="T18" s="38">
        <f t="shared" si="8"/>
        <v>0.03799768467</v>
      </c>
      <c r="U18" s="38">
        <v>671.88</v>
      </c>
    </row>
    <row r="19" ht="14.25" customHeight="1">
      <c r="A19" s="34"/>
      <c r="B19" s="36" t="s">
        <v>49</v>
      </c>
      <c r="C19" s="59">
        <v>43.5</v>
      </c>
      <c r="D19" s="59">
        <v>61.0</v>
      </c>
      <c r="E19" s="41">
        <f t="shared" si="1"/>
        <v>0.7131147541</v>
      </c>
      <c r="F19" s="60">
        <v>1.0</v>
      </c>
      <c r="G19" s="46">
        <v>4.0</v>
      </c>
      <c r="H19" s="41">
        <f t="shared" si="2"/>
        <v>2.852459016</v>
      </c>
      <c r="I19" s="50">
        <v>0.032197478471202294</v>
      </c>
      <c r="J19" s="52">
        <v>0.78</v>
      </c>
      <c r="K19" s="54">
        <f>(35/297)</f>
        <v>0.1178451178</v>
      </c>
      <c r="L19" s="54">
        <f t="shared" si="3"/>
        <v>0.04718137879</v>
      </c>
      <c r="M19" s="56">
        <v>730.0</v>
      </c>
      <c r="N19" s="41">
        <f t="shared" si="4"/>
        <v>0.01160480089</v>
      </c>
      <c r="O19" s="41">
        <f t="shared" si="5"/>
        <v>0.03409024523</v>
      </c>
      <c r="P19" s="41">
        <f t="shared" si="9"/>
        <v>0.07163675046</v>
      </c>
      <c r="Q19" s="41">
        <f t="shared" si="6"/>
        <v>0.03733343955</v>
      </c>
      <c r="R19" s="58">
        <f t="shared" si="7"/>
        <v>4778.680263</v>
      </c>
      <c r="T19" s="38">
        <f t="shared" si="8"/>
        <v>0.03219747847</v>
      </c>
      <c r="U19" s="38">
        <v>569.32</v>
      </c>
    </row>
    <row r="20" ht="14.25" customHeight="1">
      <c r="A20" s="61"/>
      <c r="B20" s="62" t="s">
        <v>50</v>
      </c>
      <c r="C20" s="59">
        <v>277.25</v>
      </c>
      <c r="D20" s="59">
        <v>412.25</v>
      </c>
      <c r="E20" s="41">
        <f t="shared" si="1"/>
        <v>0.6725288053</v>
      </c>
      <c r="F20" s="93">
        <v>9.0</v>
      </c>
      <c r="G20" s="95">
        <v>25.0</v>
      </c>
      <c r="H20" s="41">
        <f t="shared" si="2"/>
        <v>1.86813557</v>
      </c>
      <c r="I20" s="50">
        <v>0.09368950460153842</v>
      </c>
      <c r="J20" s="52">
        <v>0.75</v>
      </c>
      <c r="K20" s="54">
        <f>(30/2397)</f>
        <v>0.01251564456</v>
      </c>
      <c r="L20" s="54">
        <f t="shared" si="3"/>
        <v>0.005010859825</v>
      </c>
      <c r="M20" s="56">
        <v>734.0</v>
      </c>
      <c r="N20" s="41">
        <f t="shared" si="4"/>
        <v>0.01166838884</v>
      </c>
      <c r="O20" s="41">
        <f t="shared" si="5"/>
        <v>0.09525217515</v>
      </c>
      <c r="P20" s="41">
        <f t="shared" si="9"/>
        <v>0.1312685221</v>
      </c>
      <c r="Q20" s="41">
        <f t="shared" si="6"/>
        <v>0.06841049326</v>
      </c>
      <c r="R20" s="58">
        <f t="shared" si="7"/>
        <v>8756.543137</v>
      </c>
      <c r="T20" s="38">
        <f t="shared" si="8"/>
        <v>0.0936895046</v>
      </c>
      <c r="U20" s="38">
        <v>1656.63</v>
      </c>
    </row>
    <row r="21" ht="14.25" customHeight="1">
      <c r="A21" s="34"/>
      <c r="B21" s="36" t="s">
        <v>51</v>
      </c>
      <c r="C21" s="59">
        <v>44.75</v>
      </c>
      <c r="D21" s="59">
        <v>100.25</v>
      </c>
      <c r="E21" s="41">
        <f t="shared" si="1"/>
        <v>0.4463840399</v>
      </c>
      <c r="F21" s="60">
        <v>2.0</v>
      </c>
      <c r="G21" s="46">
        <v>6.0</v>
      </c>
      <c r="H21" s="41">
        <f t="shared" si="2"/>
        <v>1.33915212</v>
      </c>
      <c r="I21" s="50">
        <v>0.011582315026526787</v>
      </c>
      <c r="J21" s="52">
        <v>0.72</v>
      </c>
      <c r="K21" s="54">
        <f>(45/348)</f>
        <v>0.1293103448</v>
      </c>
      <c r="L21" s="54">
        <f t="shared" si="3"/>
        <v>0.05177168535</v>
      </c>
      <c r="M21" s="56">
        <v>1372.0</v>
      </c>
      <c r="N21" s="41">
        <f t="shared" si="4"/>
        <v>0.02181066688</v>
      </c>
      <c r="O21" s="41">
        <f t="shared" si="5"/>
        <v>0.01243456901</v>
      </c>
      <c r="P21" s="41">
        <f t="shared" si="9"/>
        <v>0.01116754684</v>
      </c>
      <c r="Q21" s="41">
        <f t="shared" si="6"/>
        <v>0.00581995878</v>
      </c>
      <c r="R21" s="58">
        <f t="shared" si="7"/>
        <v>744.9547238</v>
      </c>
      <c r="T21" s="38">
        <f t="shared" si="8"/>
        <v>0.01158231503</v>
      </c>
      <c r="U21" s="38">
        <v>204.8</v>
      </c>
    </row>
    <row r="22" ht="14.25" customHeight="1">
      <c r="A22" s="34"/>
      <c r="B22" s="36" t="s">
        <v>52</v>
      </c>
      <c r="C22" s="59">
        <v>88.0</v>
      </c>
      <c r="D22" s="59">
        <v>107.25</v>
      </c>
      <c r="E22" s="41">
        <f t="shared" si="1"/>
        <v>0.8205128205</v>
      </c>
      <c r="F22" s="60">
        <v>2.0</v>
      </c>
      <c r="G22" s="46">
        <v>6.0</v>
      </c>
      <c r="H22" s="41">
        <f t="shared" si="2"/>
        <v>2.461538462</v>
      </c>
      <c r="I22" s="50">
        <v>0.02847337962112032</v>
      </c>
      <c r="J22" s="96">
        <v>1.0</v>
      </c>
      <c r="K22" s="54">
        <f>(14/597)</f>
        <v>0.02345058626</v>
      </c>
      <c r="L22" s="54">
        <f t="shared" si="3"/>
        <v>0.009388857287</v>
      </c>
      <c r="M22" s="74"/>
      <c r="N22" s="41">
        <f t="shared" si="4"/>
        <v>0</v>
      </c>
      <c r="O22" s="41">
        <f t="shared" si="5"/>
        <v>0.02874071212</v>
      </c>
      <c r="P22" s="41">
        <f t="shared" si="9"/>
        <v>0.07008831907</v>
      </c>
      <c r="Q22" s="41">
        <f t="shared" si="6"/>
        <v>0.03652647568</v>
      </c>
      <c r="R22" s="58">
        <f t="shared" si="7"/>
        <v>4675.388887</v>
      </c>
      <c r="T22" s="38">
        <f t="shared" si="8"/>
        <v>0.02847337962</v>
      </c>
      <c r="U22" s="38">
        <v>503.47</v>
      </c>
    </row>
    <row r="23" ht="14.25" customHeight="1">
      <c r="A23" s="34"/>
      <c r="B23" s="36" t="s">
        <v>53</v>
      </c>
      <c r="C23" s="59">
        <v>16.5</v>
      </c>
      <c r="D23" s="59">
        <v>82.25</v>
      </c>
      <c r="E23" s="41">
        <f t="shared" si="1"/>
        <v>0.2006079027</v>
      </c>
      <c r="F23" s="60">
        <v>2.0</v>
      </c>
      <c r="G23" s="46">
        <v>7.0</v>
      </c>
      <c r="H23" s="41">
        <f t="shared" si="2"/>
        <v>0.7021276596</v>
      </c>
      <c r="I23" s="50">
        <v>0.014525399372134469</v>
      </c>
      <c r="J23" s="52">
        <v>0.8</v>
      </c>
      <c r="K23" s="54">
        <f>(126/242)</f>
        <v>0.520661157</v>
      </c>
      <c r="L23" s="54">
        <f t="shared" si="3"/>
        <v>0.2084559099</v>
      </c>
      <c r="M23" s="56">
        <v>3788.0</v>
      </c>
      <c r="N23" s="41">
        <f t="shared" si="4"/>
        <v>0.06021778873</v>
      </c>
      <c r="O23" s="41">
        <f t="shared" si="5"/>
        <v>0.01842799215</v>
      </c>
      <c r="P23" s="41">
        <f t="shared" si="9"/>
        <v>0.008158947732</v>
      </c>
      <c r="Q23" s="41">
        <f t="shared" si="6"/>
        <v>0.00425202958</v>
      </c>
      <c r="R23" s="58">
        <f t="shared" si="7"/>
        <v>544.2597863</v>
      </c>
      <c r="T23" s="38">
        <f t="shared" si="8"/>
        <v>0.01452539937</v>
      </c>
      <c r="U23" s="38">
        <v>256.84</v>
      </c>
    </row>
    <row r="24" ht="14.25" customHeight="1">
      <c r="A24" s="34"/>
      <c r="B24" s="36" t="s">
        <v>54</v>
      </c>
      <c r="C24" s="59">
        <v>75.75</v>
      </c>
      <c r="D24" s="59">
        <v>159.0</v>
      </c>
      <c r="E24" s="41">
        <f t="shared" si="1"/>
        <v>0.4764150943</v>
      </c>
      <c r="F24" s="60">
        <v>2.0</v>
      </c>
      <c r="G24" s="46">
        <v>6.0</v>
      </c>
      <c r="H24" s="41">
        <f t="shared" si="2"/>
        <v>1.429245283</v>
      </c>
      <c r="I24" s="50">
        <v>0.016728753832258903</v>
      </c>
      <c r="J24" s="52">
        <v>0.88</v>
      </c>
      <c r="K24" s="54">
        <f>(23/616)</f>
        <v>0.03733766234</v>
      </c>
      <c r="L24" s="54">
        <f t="shared" si="3"/>
        <v>0.01494879399</v>
      </c>
      <c r="M24" s="74"/>
      <c r="N24" s="41">
        <f t="shared" si="4"/>
        <v>0</v>
      </c>
      <c r="O24" s="41">
        <f t="shared" si="5"/>
        <v>0.01697882853</v>
      </c>
      <c r="P24" s="41">
        <f t="shared" si="9"/>
        <v>0.0210403534</v>
      </c>
      <c r="Q24" s="41">
        <f t="shared" si="6"/>
        <v>0.01096516462</v>
      </c>
      <c r="R24" s="58">
        <f t="shared" si="7"/>
        <v>1403.541072</v>
      </c>
      <c r="T24" s="38">
        <f t="shared" si="8"/>
        <v>0.01672875383</v>
      </c>
      <c r="U24" s="38">
        <v>295.8</v>
      </c>
    </row>
    <row r="25" ht="14.25" customHeight="1">
      <c r="A25" s="34"/>
      <c r="B25" s="36" t="s">
        <v>55</v>
      </c>
      <c r="C25" s="59">
        <v>39.25</v>
      </c>
      <c r="D25" s="59">
        <v>146.25</v>
      </c>
      <c r="E25" s="41">
        <f t="shared" si="1"/>
        <v>0.2683760684</v>
      </c>
      <c r="F25" s="60">
        <v>2.0</v>
      </c>
      <c r="G25" s="46">
        <v>6.0</v>
      </c>
      <c r="H25" s="41">
        <f t="shared" si="2"/>
        <v>0.8051282051</v>
      </c>
      <c r="I25" s="50">
        <v>0.019752145244945046</v>
      </c>
      <c r="J25" s="52">
        <v>0.75</v>
      </c>
      <c r="K25" s="54">
        <f>(39/443)</f>
        <v>0.08803611738</v>
      </c>
      <c r="L25" s="54">
        <f t="shared" si="3"/>
        <v>0.03524681783</v>
      </c>
      <c r="M25" s="56">
        <v>6396.0</v>
      </c>
      <c r="N25" s="41">
        <f t="shared" si="4"/>
        <v>0.1016771322</v>
      </c>
      <c r="O25" s="41">
        <f t="shared" si="5"/>
        <v>0.02245668699</v>
      </c>
      <c r="P25" s="41">
        <f t="shared" si="9"/>
        <v>0.01192725694</v>
      </c>
      <c r="Q25" s="41">
        <f t="shared" si="6"/>
        <v>0.006215881136</v>
      </c>
      <c r="R25" s="58">
        <f t="shared" si="7"/>
        <v>795.6327855</v>
      </c>
      <c r="T25" s="38">
        <f t="shared" si="8"/>
        <v>0.01975214524</v>
      </c>
      <c r="U25" s="38">
        <v>349.26</v>
      </c>
    </row>
    <row r="26" ht="14.25" customHeight="1">
      <c r="A26" s="34"/>
      <c r="B26" s="36" t="s">
        <v>56</v>
      </c>
      <c r="C26" s="59">
        <v>62.25</v>
      </c>
      <c r="D26" s="59">
        <v>80.5</v>
      </c>
      <c r="E26" s="41">
        <f t="shared" si="1"/>
        <v>0.7732919255</v>
      </c>
      <c r="F26" s="93">
        <v>1.0</v>
      </c>
      <c r="G26" s="95">
        <v>4.0</v>
      </c>
      <c r="H26" s="41">
        <f t="shared" si="2"/>
        <v>3.093167702</v>
      </c>
      <c r="I26" s="50">
        <v>0.016881450368253153</v>
      </c>
      <c r="J26" s="52">
        <v>0.83</v>
      </c>
      <c r="K26" s="54">
        <f>(22/417)</f>
        <v>0.05275779376</v>
      </c>
      <c r="L26" s="54">
        <f t="shared" si="3"/>
        <v>0.02112251655</v>
      </c>
      <c r="M26" s="56">
        <v>932.0</v>
      </c>
      <c r="N26" s="41">
        <f t="shared" si="4"/>
        <v>0.01481599237</v>
      </c>
      <c r="O26" s="41">
        <f t="shared" si="5"/>
        <v>0.01748814452</v>
      </c>
      <c r="P26" s="41">
        <f t="shared" si="9"/>
        <v>0.04334024034</v>
      </c>
      <c r="Q26" s="41">
        <f t="shared" si="6"/>
        <v>0.02258673422</v>
      </c>
      <c r="R26" s="58">
        <f t="shared" si="7"/>
        <v>2891.10198</v>
      </c>
      <c r="T26" s="38">
        <f t="shared" si="8"/>
        <v>0.01688145037</v>
      </c>
      <c r="U26" s="38">
        <v>298.5</v>
      </c>
    </row>
    <row r="27" ht="14.25" customHeight="1">
      <c r="A27" s="34"/>
      <c r="B27" s="36" t="s">
        <v>57</v>
      </c>
      <c r="C27" s="59">
        <v>47.75</v>
      </c>
      <c r="D27" s="59">
        <v>200.25</v>
      </c>
      <c r="E27" s="41">
        <f t="shared" si="1"/>
        <v>0.2384519351</v>
      </c>
      <c r="F27" s="60">
        <v>3.0</v>
      </c>
      <c r="G27" s="46">
        <v>9.0</v>
      </c>
      <c r="H27" s="41">
        <f t="shared" si="2"/>
        <v>0.7153558052</v>
      </c>
      <c r="I27" s="50">
        <v>0.05040795424533132</v>
      </c>
      <c r="J27" s="52">
        <v>0.99</v>
      </c>
      <c r="K27" s="54">
        <f>(85/742)</f>
        <v>0.1145552561</v>
      </c>
      <c r="L27" s="54">
        <f t="shared" si="3"/>
        <v>0.0458642244</v>
      </c>
      <c r="M27" s="56">
        <v>4294.0</v>
      </c>
      <c r="N27" s="41">
        <f t="shared" si="4"/>
        <v>0.06826166441</v>
      </c>
      <c r="O27" s="41">
        <f t="shared" si="5"/>
        <v>0.05616080683</v>
      </c>
      <c r="P27" s="41">
        <f t="shared" si="9"/>
        <v>0.03569902647</v>
      </c>
      <c r="Q27" s="41">
        <f t="shared" si="6"/>
        <v>0.01860452126</v>
      </c>
      <c r="R27" s="58">
        <f t="shared" si="7"/>
        <v>2381.378721</v>
      </c>
      <c r="T27" s="38">
        <f t="shared" si="8"/>
        <v>0.05040795425</v>
      </c>
      <c r="U27" s="38">
        <v>891.32</v>
      </c>
    </row>
    <row r="28" ht="14.25" customHeight="1">
      <c r="A28" s="34"/>
      <c r="B28" s="36" t="s">
        <v>58</v>
      </c>
      <c r="C28" s="36">
        <f t="shared" ref="C28:D28" si="10">SUM(C4:C27)</f>
        <v>2090.75</v>
      </c>
      <c r="D28" s="36">
        <f t="shared" si="10"/>
        <v>3502.75</v>
      </c>
      <c r="E28" s="36"/>
      <c r="F28" s="98">
        <f t="shared" ref="F28:G28" si="11">SUM(F5:F27)</f>
        <v>50</v>
      </c>
      <c r="G28" s="99">
        <f t="shared" si="11"/>
        <v>166.5</v>
      </c>
      <c r="H28" s="36"/>
      <c r="I28" s="100">
        <f t="shared" ref="I28:P28" si="12">SUM(I5:I27)</f>
        <v>1</v>
      </c>
      <c r="J28" s="100">
        <f t="shared" si="12"/>
        <v>19.81</v>
      </c>
      <c r="K28" s="101">
        <f t="shared" si="12"/>
        <v>2.497703986</v>
      </c>
      <c r="L28" s="101">
        <f t="shared" si="12"/>
        <v>1</v>
      </c>
      <c r="M28" s="102">
        <f t="shared" si="12"/>
        <v>62905</v>
      </c>
      <c r="N28" s="101">
        <f t="shared" si="12"/>
        <v>1</v>
      </c>
      <c r="O28" s="101">
        <f t="shared" si="12"/>
        <v>1.071361841</v>
      </c>
      <c r="P28" s="101">
        <f t="shared" si="12"/>
        <v>1.918836071</v>
      </c>
      <c r="Q28" s="36">
        <f t="shared" ref="Q28:R28" si="13">SUM(Q4:Q27)</f>
        <v>1</v>
      </c>
      <c r="R28" s="105">
        <f t="shared" si="13"/>
        <v>128000</v>
      </c>
      <c r="T28" s="38">
        <f t="shared" ref="T28:U28" si="14">SUM(T5:T27)</f>
        <v>1</v>
      </c>
      <c r="U28" s="108">
        <f t="shared" si="14"/>
        <v>17682.13</v>
      </c>
    </row>
    <row r="29" ht="14.25" customHeight="1">
      <c r="A29" s="30"/>
      <c r="B29" s="110" t="s">
        <v>73</v>
      </c>
      <c r="C29" s="110"/>
      <c r="D29" s="110"/>
      <c r="E29" s="110"/>
      <c r="F29" s="60"/>
      <c r="G29" s="6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ht="14.25" customHeight="1">
      <c r="A30" s="111"/>
      <c r="B30" s="111" t="s">
        <v>61</v>
      </c>
      <c r="C30" s="112"/>
      <c r="D30" s="112"/>
      <c r="E30" s="112"/>
      <c r="F30" s="112"/>
      <c r="G30" s="113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ht="14.25" customHeight="1">
      <c r="A31" s="111"/>
      <c r="B31" s="111" t="s">
        <v>60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ht="14.25" customHeight="1">
      <c r="A32" s="111"/>
      <c r="B32" s="111" t="s">
        <v>74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ht="14.25" customHeight="1">
      <c r="A33" s="111"/>
      <c r="B33" s="111" t="s">
        <v>75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ht="14.25" customHeight="1">
      <c r="A34" s="114"/>
      <c r="B34" s="113" t="s">
        <v>76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ht="14.25" customHeight="1">
      <c r="A35" s="115"/>
      <c r="B35" s="116" t="s">
        <v>77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ht="14.25" customHeight="1">
      <c r="A36" s="117"/>
      <c r="B36" s="117" t="s">
        <v>78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ht="14.2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ht="14.2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ht="14.2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ht="14.2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ht="14.2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1">
    <mergeCell ref="B1:Q1"/>
  </mergeCells>
  <printOptions/>
  <pageMargins bottom="0.7875" footer="0.0" header="0.0" left="0.511805555555555" right="0.511805555555555" top="0.78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25.43"/>
    <col customWidth="1" min="3" max="3" width="17.71"/>
    <col customWidth="1" min="4" max="4" width="18.57"/>
    <col customWidth="1" min="5" max="5" width="8.29"/>
    <col customWidth="1" min="6" max="6" width="16.71"/>
    <col customWidth="1" min="7" max="7" width="8.43"/>
    <col customWidth="1" min="8" max="8" width="7.29"/>
    <col customWidth="1" min="9" max="9" width="15.57"/>
    <col customWidth="1" min="10" max="26" width="9.86"/>
  </cols>
  <sheetData>
    <row r="1" ht="14.25" customHeight="1">
      <c r="A1" s="2" t="s">
        <v>0</v>
      </c>
      <c r="B1" s="3"/>
      <c r="C1" s="3"/>
      <c r="D1" s="3"/>
      <c r="E1" s="3"/>
      <c r="F1" s="3"/>
      <c r="G1" s="3"/>
      <c r="H1" s="4"/>
      <c r="I1" s="6">
        <f>GERAL!J6</f>
        <v>96000</v>
      </c>
    </row>
    <row r="2" ht="14.25" customHeight="1"/>
    <row r="3" ht="14.25" customHeight="1">
      <c r="A3" s="14" t="s">
        <v>1</v>
      </c>
      <c r="B3" s="16" t="s">
        <v>8</v>
      </c>
      <c r="C3" s="16" t="s">
        <v>14</v>
      </c>
      <c r="D3" s="14" t="s">
        <v>16</v>
      </c>
      <c r="E3" s="14" t="s">
        <v>18</v>
      </c>
      <c r="F3" s="18" t="s">
        <v>17</v>
      </c>
      <c r="G3" s="14" t="s">
        <v>23</v>
      </c>
      <c r="H3" s="14" t="s">
        <v>24</v>
      </c>
      <c r="I3" s="14" t="s">
        <v>26</v>
      </c>
    </row>
    <row r="4" ht="14.25" customHeight="1">
      <c r="A4" s="27"/>
      <c r="B4" s="27"/>
      <c r="C4" s="27"/>
      <c r="D4" s="27"/>
      <c r="E4" s="27"/>
      <c r="F4" s="29"/>
      <c r="G4" s="27"/>
      <c r="H4" s="27"/>
      <c r="I4" s="27"/>
    </row>
    <row r="5" ht="14.25" customHeight="1">
      <c r="A5" s="31" t="s">
        <v>34</v>
      </c>
      <c r="B5" s="33">
        <v>18.25</v>
      </c>
      <c r="C5" s="33">
        <v>26.5</v>
      </c>
      <c r="D5" s="37">
        <v>3.0</v>
      </c>
      <c r="E5" s="40">
        <f t="shared" ref="E5:E8" si="1">(B5/C5)*D5</f>
        <v>2.066037736</v>
      </c>
      <c r="F5" s="45">
        <v>0.81</v>
      </c>
      <c r="G5" s="47">
        <f t="shared" ref="G5:G27" si="2">(E5*F5)</f>
        <v>1.673490566</v>
      </c>
      <c r="H5" s="40">
        <f t="shared" ref="H5:H8" si="3">G5/$G$28</f>
        <v>0.04054007458</v>
      </c>
      <c r="I5" s="51">
        <f t="shared" ref="I5:I8" si="4">H5*$I$1</f>
        <v>3891.847159</v>
      </c>
    </row>
    <row r="6" ht="14.25" customHeight="1">
      <c r="A6" s="31" t="s">
        <v>36</v>
      </c>
      <c r="B6" s="33">
        <f>(11+2)</f>
        <v>13</v>
      </c>
      <c r="C6" s="33">
        <f>(41+10)</f>
        <v>51</v>
      </c>
      <c r="D6" s="37">
        <v>3.83</v>
      </c>
      <c r="E6" s="40">
        <f t="shared" si="1"/>
        <v>0.9762745098</v>
      </c>
      <c r="F6" s="45">
        <v>0.85</v>
      </c>
      <c r="G6" s="47">
        <f t="shared" si="2"/>
        <v>0.8298333333</v>
      </c>
      <c r="H6" s="40">
        <f t="shared" si="3"/>
        <v>0.02010259627</v>
      </c>
      <c r="I6" s="51">
        <f t="shared" si="4"/>
        <v>1929.849242</v>
      </c>
    </row>
    <row r="7" ht="14.25" customHeight="1">
      <c r="A7" s="31" t="s">
        <v>37</v>
      </c>
      <c r="B7" s="33">
        <v>13.5</v>
      </c>
      <c r="C7" s="33">
        <v>17.0</v>
      </c>
      <c r="D7" s="37">
        <v>4.0</v>
      </c>
      <c r="E7" s="40">
        <f t="shared" si="1"/>
        <v>3.176470588</v>
      </c>
      <c r="F7" s="45">
        <v>0.78</v>
      </c>
      <c r="G7" s="47">
        <f t="shared" si="2"/>
        <v>2.477647059</v>
      </c>
      <c r="H7" s="40">
        <f t="shared" si="3"/>
        <v>0.06002065298</v>
      </c>
      <c r="I7" s="51">
        <f t="shared" si="4"/>
        <v>5761.982686</v>
      </c>
    </row>
    <row r="8" ht="14.25" customHeight="1">
      <c r="A8" s="31" t="s">
        <v>38</v>
      </c>
      <c r="B8" s="33">
        <f>(20+12.5)</f>
        <v>32.5</v>
      </c>
      <c r="C8" s="33">
        <f>(19.5+13.25)</f>
        <v>32.75</v>
      </c>
      <c r="D8" s="37">
        <v>3.0</v>
      </c>
      <c r="E8" s="40">
        <f t="shared" si="1"/>
        <v>2.977099237</v>
      </c>
      <c r="F8" s="45">
        <v>0.89</v>
      </c>
      <c r="G8" s="47">
        <f t="shared" si="2"/>
        <v>2.649618321</v>
      </c>
      <c r="H8" s="40">
        <f t="shared" si="3"/>
        <v>0.06418663271</v>
      </c>
      <c r="I8" s="51">
        <f t="shared" si="4"/>
        <v>6161.916741</v>
      </c>
    </row>
    <row r="9" ht="14.25" customHeight="1">
      <c r="A9" s="57" t="s">
        <v>39</v>
      </c>
      <c r="B9" s="33">
        <v>0.0</v>
      </c>
      <c r="C9" s="33">
        <v>0.0</v>
      </c>
      <c r="D9" s="37"/>
      <c r="E9" s="40"/>
      <c r="F9" s="45">
        <v>0.66</v>
      </c>
      <c r="G9" s="47">
        <f t="shared" si="2"/>
        <v>0</v>
      </c>
      <c r="H9" s="40"/>
      <c r="I9" s="51"/>
    </row>
    <row r="10" ht="14.25" customHeight="1">
      <c r="A10" s="31" t="s">
        <v>40</v>
      </c>
      <c r="B10" s="33">
        <v>20.0</v>
      </c>
      <c r="C10" s="33">
        <v>17.5</v>
      </c>
      <c r="D10" s="37">
        <v>3.0</v>
      </c>
      <c r="E10" s="40">
        <f t="shared" ref="E10:E13" si="5">(B10/C10)*D10</f>
        <v>3.428571429</v>
      </c>
      <c r="F10" s="45">
        <v>1.0</v>
      </c>
      <c r="G10" s="47">
        <f t="shared" si="2"/>
        <v>3.428571429</v>
      </c>
      <c r="H10" s="40">
        <f t="shared" ref="H10:H27" si="6">G10/$G$28</f>
        <v>0.08305666266</v>
      </c>
      <c r="I10" s="51">
        <f t="shared" ref="I10:I13" si="7">H10*$I$1</f>
        <v>7973.439615</v>
      </c>
    </row>
    <row r="11" ht="14.25" customHeight="1">
      <c r="A11" s="31" t="s">
        <v>41</v>
      </c>
      <c r="B11" s="33">
        <f>(9+4)</f>
        <v>13</v>
      </c>
      <c r="C11" s="33">
        <f>(11+8.75)</f>
        <v>19.75</v>
      </c>
      <c r="D11" s="37">
        <v>3.0</v>
      </c>
      <c r="E11" s="40">
        <f t="shared" si="5"/>
        <v>1.974683544</v>
      </c>
      <c r="F11" s="45">
        <v>0.71</v>
      </c>
      <c r="G11" s="47">
        <f t="shared" si="2"/>
        <v>1.402025316</v>
      </c>
      <c r="H11" s="40">
        <f t="shared" si="6"/>
        <v>0.03396386693</v>
      </c>
      <c r="I11" s="51">
        <f t="shared" si="7"/>
        <v>3260.531225</v>
      </c>
    </row>
    <row r="12" ht="14.25" customHeight="1">
      <c r="A12" s="31" t="s">
        <v>42</v>
      </c>
      <c r="B12" s="33">
        <v>12.0</v>
      </c>
      <c r="C12" s="33">
        <v>16.5</v>
      </c>
      <c r="D12" s="37">
        <v>3.0</v>
      </c>
      <c r="E12" s="40">
        <f t="shared" si="5"/>
        <v>2.181818182</v>
      </c>
      <c r="F12" s="45">
        <v>0.98</v>
      </c>
      <c r="G12" s="47">
        <f t="shared" si="2"/>
        <v>2.138181818</v>
      </c>
      <c r="H12" s="40">
        <f t="shared" si="6"/>
        <v>0.05179715507</v>
      </c>
      <c r="I12" s="51">
        <f t="shared" si="7"/>
        <v>4972.526887</v>
      </c>
    </row>
    <row r="13" ht="14.25" customHeight="1">
      <c r="A13" s="31" t="s">
        <v>43</v>
      </c>
      <c r="B13" s="33">
        <v>8.5</v>
      </c>
      <c r="C13" s="33">
        <v>6.5</v>
      </c>
      <c r="D13" s="37">
        <v>3.0</v>
      </c>
      <c r="E13" s="40">
        <f t="shared" si="5"/>
        <v>3.923076923</v>
      </c>
      <c r="F13" s="45">
        <v>0.93</v>
      </c>
      <c r="G13" s="47">
        <f t="shared" si="2"/>
        <v>3.648461538</v>
      </c>
      <c r="H13" s="40">
        <f t="shared" si="6"/>
        <v>0.08838346977</v>
      </c>
      <c r="I13" s="51">
        <f t="shared" si="7"/>
        <v>8484.813098</v>
      </c>
    </row>
    <row r="14" ht="14.25" customHeight="1">
      <c r="A14" s="31" t="s">
        <v>44</v>
      </c>
      <c r="B14" s="33"/>
      <c r="C14" s="33"/>
      <c r="D14" s="37"/>
      <c r="E14" s="40"/>
      <c r="F14" s="45">
        <v>0.97</v>
      </c>
      <c r="G14" s="47">
        <f t="shared" si="2"/>
        <v>0</v>
      </c>
      <c r="H14" s="40">
        <f t="shared" si="6"/>
        <v>0</v>
      </c>
      <c r="I14" s="51"/>
    </row>
    <row r="15" ht="14.25" customHeight="1">
      <c r="A15" s="57" t="s">
        <v>45</v>
      </c>
      <c r="B15" s="33">
        <v>8.0</v>
      </c>
      <c r="C15" s="33">
        <v>9.5</v>
      </c>
      <c r="D15" s="37">
        <v>4.0</v>
      </c>
      <c r="E15" s="40">
        <f t="shared" ref="E15:E21" si="8">(B15/C15)*D15</f>
        <v>3.368421053</v>
      </c>
      <c r="F15" s="45">
        <v>0.9</v>
      </c>
      <c r="G15" s="47">
        <f t="shared" si="2"/>
        <v>3.031578947</v>
      </c>
      <c r="H15" s="40">
        <f t="shared" si="6"/>
        <v>0.0734395754</v>
      </c>
      <c r="I15" s="51">
        <f t="shared" ref="I15:I21" si="9">H15*$I$1</f>
        <v>7050.199239</v>
      </c>
    </row>
    <row r="16" ht="14.25" customHeight="1">
      <c r="A16" s="31" t="s">
        <v>46</v>
      </c>
      <c r="B16" s="33">
        <v>10.0</v>
      </c>
      <c r="C16" s="33">
        <v>36.5</v>
      </c>
      <c r="D16" s="37">
        <v>3.0</v>
      </c>
      <c r="E16" s="40">
        <f t="shared" si="8"/>
        <v>0.8219178082</v>
      </c>
      <c r="F16" s="45">
        <v>0.85</v>
      </c>
      <c r="G16" s="47">
        <f t="shared" si="2"/>
        <v>0.698630137</v>
      </c>
      <c r="H16" s="40">
        <f t="shared" si="6"/>
        <v>0.01692421722</v>
      </c>
      <c r="I16" s="51">
        <f t="shared" si="9"/>
        <v>1624.724853</v>
      </c>
    </row>
    <row r="17" ht="14.25" customHeight="1">
      <c r="A17" s="31" t="s">
        <v>47</v>
      </c>
      <c r="B17" s="33">
        <v>7.5</v>
      </c>
      <c r="C17" s="33">
        <v>13.5</v>
      </c>
      <c r="D17" s="37">
        <v>3.0</v>
      </c>
      <c r="E17" s="40">
        <f t="shared" si="8"/>
        <v>1.666666667</v>
      </c>
      <c r="F17" s="45">
        <v>0.99</v>
      </c>
      <c r="G17" s="47">
        <f t="shared" si="2"/>
        <v>1.65</v>
      </c>
      <c r="H17" s="40">
        <f t="shared" si="6"/>
        <v>0.0399710189</v>
      </c>
      <c r="I17" s="51">
        <f t="shared" si="9"/>
        <v>3837.217815</v>
      </c>
    </row>
    <row r="18" ht="14.25" customHeight="1">
      <c r="A18" s="57" t="s">
        <v>48</v>
      </c>
      <c r="B18" s="33">
        <v>14.38</v>
      </c>
      <c r="C18" s="33">
        <v>18.5</v>
      </c>
      <c r="D18" s="37">
        <v>4.0</v>
      </c>
      <c r="E18" s="40">
        <f t="shared" si="8"/>
        <v>3.109189189</v>
      </c>
      <c r="F18" s="45">
        <v>0.99</v>
      </c>
      <c r="G18" s="47">
        <f t="shared" si="2"/>
        <v>3.078097297</v>
      </c>
      <c r="H18" s="40">
        <f t="shared" si="6"/>
        <v>0.07456647591</v>
      </c>
      <c r="I18" s="51">
        <f t="shared" si="9"/>
        <v>7158.381688</v>
      </c>
    </row>
    <row r="19" ht="14.25" customHeight="1">
      <c r="A19" s="31" t="s">
        <v>49</v>
      </c>
      <c r="B19" s="33">
        <v>12.0</v>
      </c>
      <c r="C19" s="33">
        <v>14.0</v>
      </c>
      <c r="D19" s="37">
        <v>3.0</v>
      </c>
      <c r="E19" s="40">
        <f t="shared" si="8"/>
        <v>2.571428571</v>
      </c>
      <c r="F19" s="45">
        <v>0.78</v>
      </c>
      <c r="G19" s="47">
        <f t="shared" si="2"/>
        <v>2.005714286</v>
      </c>
      <c r="H19" s="40">
        <f t="shared" si="6"/>
        <v>0.04858814765</v>
      </c>
      <c r="I19" s="51">
        <f t="shared" si="9"/>
        <v>4664.462175</v>
      </c>
    </row>
    <row r="20" ht="14.25" customHeight="1">
      <c r="A20" s="57" t="s">
        <v>50</v>
      </c>
      <c r="B20" s="33">
        <v>8.5</v>
      </c>
      <c r="C20" s="33">
        <v>16.0</v>
      </c>
      <c r="D20" s="37">
        <v>3.0</v>
      </c>
      <c r="E20" s="40">
        <f t="shared" si="8"/>
        <v>1.59375</v>
      </c>
      <c r="F20" s="45">
        <v>0.75</v>
      </c>
      <c r="G20" s="47">
        <f t="shared" si="2"/>
        <v>1.1953125</v>
      </c>
      <c r="H20" s="40">
        <f t="shared" si="6"/>
        <v>0.0289562779</v>
      </c>
      <c r="I20" s="51">
        <f t="shared" si="9"/>
        <v>2779.802678</v>
      </c>
    </row>
    <row r="21" ht="14.25" customHeight="1">
      <c r="A21" s="31" t="s">
        <v>51</v>
      </c>
      <c r="B21" s="33">
        <v>14.5</v>
      </c>
      <c r="C21" s="33">
        <v>20.0</v>
      </c>
      <c r="D21" s="37">
        <v>3.5</v>
      </c>
      <c r="E21" s="40">
        <f t="shared" si="8"/>
        <v>2.5375</v>
      </c>
      <c r="F21" s="45">
        <v>0.72</v>
      </c>
      <c r="G21" s="47">
        <f t="shared" si="2"/>
        <v>1.827</v>
      </c>
      <c r="H21" s="40">
        <f t="shared" si="6"/>
        <v>0.04425881911</v>
      </c>
      <c r="I21" s="51">
        <f t="shared" si="9"/>
        <v>4248.846635</v>
      </c>
    </row>
    <row r="22" ht="14.25" customHeight="1">
      <c r="A22" s="31" t="s">
        <v>52</v>
      </c>
      <c r="B22" s="33"/>
      <c r="C22" s="33"/>
      <c r="D22" s="37"/>
      <c r="E22" s="40"/>
      <c r="F22" s="64">
        <v>1.0</v>
      </c>
      <c r="G22" s="47">
        <f t="shared" si="2"/>
        <v>0</v>
      </c>
      <c r="H22" s="40">
        <f t="shared" si="6"/>
        <v>0</v>
      </c>
      <c r="I22" s="51"/>
    </row>
    <row r="23" ht="14.25" customHeight="1">
      <c r="A23" s="31" t="s">
        <v>53</v>
      </c>
      <c r="B23" s="33">
        <f>(7+7.75)</f>
        <v>14.75</v>
      </c>
      <c r="C23" s="33">
        <f>(17.5+13)</f>
        <v>30.5</v>
      </c>
      <c r="D23" s="37">
        <v>5.0</v>
      </c>
      <c r="E23" s="40">
        <f t="shared" ref="E23:E27" si="10">(B23/C23)*D23</f>
        <v>2.418032787</v>
      </c>
      <c r="F23" s="45">
        <v>0.8</v>
      </c>
      <c r="G23" s="47">
        <f t="shared" si="2"/>
        <v>1.93442623</v>
      </c>
      <c r="H23" s="40">
        <f t="shared" si="6"/>
        <v>0.04686120448</v>
      </c>
      <c r="I23" s="51">
        <f t="shared" ref="I23:I27" si="11">H23*$I$1</f>
        <v>4498.67563</v>
      </c>
    </row>
    <row r="24" ht="14.25" customHeight="1">
      <c r="A24" s="31" t="s">
        <v>54</v>
      </c>
      <c r="B24" s="33">
        <v>5.5</v>
      </c>
      <c r="C24" s="33">
        <v>15.5</v>
      </c>
      <c r="D24" s="37">
        <v>3.0</v>
      </c>
      <c r="E24" s="40">
        <f t="shared" si="10"/>
        <v>1.064516129</v>
      </c>
      <c r="F24" s="45">
        <v>0.88</v>
      </c>
      <c r="G24" s="47">
        <f t="shared" si="2"/>
        <v>0.9367741935</v>
      </c>
      <c r="H24" s="40">
        <f t="shared" si="6"/>
        <v>0.02269322364</v>
      </c>
      <c r="I24" s="51">
        <f t="shared" si="11"/>
        <v>2178.549469</v>
      </c>
    </row>
    <row r="25" ht="14.25" customHeight="1">
      <c r="A25" s="31" t="s">
        <v>55</v>
      </c>
      <c r="B25" s="33">
        <v>2.5</v>
      </c>
      <c r="C25" s="33">
        <v>4.5</v>
      </c>
      <c r="D25" s="37">
        <v>3.0</v>
      </c>
      <c r="E25" s="40">
        <f t="shared" si="10"/>
        <v>1.666666667</v>
      </c>
      <c r="F25" s="45">
        <v>0.75</v>
      </c>
      <c r="G25" s="47">
        <f t="shared" si="2"/>
        <v>1.25</v>
      </c>
      <c r="H25" s="40">
        <f t="shared" si="6"/>
        <v>0.03028107493</v>
      </c>
      <c r="I25" s="51">
        <f t="shared" si="11"/>
        <v>2906.983193</v>
      </c>
    </row>
    <row r="26" ht="14.25" customHeight="1">
      <c r="A26" s="31" t="s">
        <v>56</v>
      </c>
      <c r="B26" s="33">
        <v>19.5</v>
      </c>
      <c r="C26" s="33">
        <v>22.0</v>
      </c>
      <c r="D26" s="37">
        <v>3.0</v>
      </c>
      <c r="E26" s="40">
        <f t="shared" si="10"/>
        <v>2.659090909</v>
      </c>
      <c r="F26" s="45">
        <v>0.83</v>
      </c>
      <c r="G26" s="47">
        <f t="shared" si="2"/>
        <v>2.207045455</v>
      </c>
      <c r="H26" s="40">
        <f t="shared" si="6"/>
        <v>0.05346536702</v>
      </c>
      <c r="I26" s="51">
        <f t="shared" si="11"/>
        <v>5132.675234</v>
      </c>
    </row>
    <row r="27" ht="14.25" customHeight="1">
      <c r="A27" s="31" t="s">
        <v>57</v>
      </c>
      <c r="B27" s="33">
        <f>(10.5+12.25)</f>
        <v>22.75</v>
      </c>
      <c r="C27" s="33">
        <f>(13.5+14.5)</f>
        <v>28</v>
      </c>
      <c r="D27" s="37">
        <v>4.0</v>
      </c>
      <c r="E27" s="40">
        <f t="shared" si="10"/>
        <v>3.25</v>
      </c>
      <c r="F27" s="45">
        <v>0.99</v>
      </c>
      <c r="G27" s="47">
        <f t="shared" si="2"/>
        <v>3.2175</v>
      </c>
      <c r="H27" s="40">
        <f t="shared" si="6"/>
        <v>0.07794348686</v>
      </c>
      <c r="I27" s="51">
        <f t="shared" si="11"/>
        <v>7482.574739</v>
      </c>
    </row>
    <row r="28" ht="14.25" customHeight="1">
      <c r="A28" s="66" t="s">
        <v>58</v>
      </c>
      <c r="B28" s="67"/>
      <c r="C28" s="67"/>
      <c r="D28" s="68"/>
      <c r="E28" s="69">
        <f>SUM(E4:E27)</f>
        <v>47.43121193</v>
      </c>
      <c r="F28" s="69"/>
      <c r="G28" s="69">
        <f t="shared" ref="G28:I28" si="12">SUM(G4:G27)</f>
        <v>41.27990843</v>
      </c>
      <c r="H28" s="69">
        <f t="shared" si="12"/>
        <v>1</v>
      </c>
      <c r="I28" s="70">
        <f t="shared" si="12"/>
        <v>96000</v>
      </c>
    </row>
    <row r="29" ht="14.25" customHeight="1">
      <c r="A29" s="27" t="s">
        <v>59</v>
      </c>
      <c r="B29" s="27"/>
      <c r="C29" s="27"/>
      <c r="D29" s="27"/>
      <c r="E29" s="27"/>
      <c r="F29" s="27"/>
      <c r="G29" s="27"/>
      <c r="H29" s="27"/>
      <c r="I29" s="27"/>
    </row>
    <row r="30" ht="14.25" customHeight="1">
      <c r="A30" s="71" t="s">
        <v>60</v>
      </c>
    </row>
    <row r="31" ht="14.25" customHeight="1">
      <c r="A31" s="71" t="s">
        <v>61</v>
      </c>
    </row>
    <row r="32" ht="14.25" customHeight="1">
      <c r="A32" s="71" t="s">
        <v>62</v>
      </c>
    </row>
    <row r="33" ht="14.25" customHeight="1">
      <c r="A33" s="71" t="s">
        <v>63</v>
      </c>
    </row>
    <row r="34" ht="14.25" customHeight="1"/>
    <row r="35" ht="14.25" customHeight="1"/>
    <row r="36" ht="14.25" customHeight="1">
      <c r="A36" s="31"/>
      <c r="B36" s="72"/>
      <c r="C36" s="72"/>
      <c r="D36" s="37"/>
      <c r="E36" s="40"/>
      <c r="F36" s="40"/>
      <c r="G36" s="38"/>
      <c r="H36" s="40"/>
      <c r="I36" s="51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H1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6.86"/>
    <col customWidth="1" min="3" max="3" width="11.29"/>
    <col customWidth="1" min="4" max="4" width="22.14"/>
    <col customWidth="1" min="5" max="5" width="15.71"/>
    <col customWidth="1" min="6" max="6" width="19.71"/>
    <col customWidth="1" min="7" max="7" width="10.57"/>
    <col customWidth="1" min="8" max="8" width="19.14"/>
    <col customWidth="1" min="9" max="9" width="10.57"/>
    <col customWidth="1" min="10" max="10" width="14.0"/>
    <col customWidth="1" min="11" max="11" width="18.0"/>
    <col customWidth="1" min="12" max="12" width="8.43"/>
    <col customWidth="1" min="13" max="13" width="14.86"/>
    <col customWidth="1" min="14" max="26" width="9.86"/>
  </cols>
  <sheetData>
    <row r="1" ht="14.25" customHeight="1">
      <c r="G1" s="7" t="s">
        <v>0</v>
      </c>
      <c r="K1" s="9">
        <f>GERAL!J7</f>
        <v>96000</v>
      </c>
    </row>
    <row r="2" ht="14.25" customHeight="1"/>
    <row r="3" ht="12.75" customHeight="1">
      <c r="A3" s="11" t="s">
        <v>2</v>
      </c>
      <c r="B3" s="13" t="s">
        <v>3</v>
      </c>
      <c r="C3" s="13" t="s">
        <v>5</v>
      </c>
      <c r="D3" s="13" t="s">
        <v>6</v>
      </c>
      <c r="E3" s="13" t="s">
        <v>7</v>
      </c>
      <c r="F3" s="17"/>
      <c r="G3" s="13" t="s">
        <v>19</v>
      </c>
      <c r="H3" s="13" t="s">
        <v>20</v>
      </c>
      <c r="I3" s="13" t="s">
        <v>21</v>
      </c>
      <c r="J3" s="11" t="s">
        <v>22</v>
      </c>
      <c r="K3" s="11" t="s">
        <v>25</v>
      </c>
      <c r="L3" s="11" t="s">
        <v>24</v>
      </c>
      <c r="M3" s="20" t="s">
        <v>26</v>
      </c>
    </row>
    <row r="4" ht="81.75" customHeight="1">
      <c r="A4" s="22"/>
      <c r="B4" s="22"/>
      <c r="C4" s="22"/>
      <c r="D4" s="22"/>
      <c r="E4" s="22"/>
      <c r="F4" s="24" t="s">
        <v>30</v>
      </c>
      <c r="G4" s="22"/>
      <c r="H4" s="22"/>
      <c r="I4" s="22"/>
      <c r="J4" s="22"/>
      <c r="K4" s="22"/>
      <c r="L4" s="22"/>
      <c r="M4" s="22"/>
    </row>
    <row r="5" ht="14.25" customHeight="1"/>
    <row r="6" ht="14.25" customHeight="1">
      <c r="A6" s="26" t="s">
        <v>34</v>
      </c>
      <c r="B6" s="26">
        <v>34.0</v>
      </c>
      <c r="C6" s="26">
        <v>78.0</v>
      </c>
      <c r="D6" s="26">
        <v>106.0</v>
      </c>
      <c r="E6" s="26">
        <v>1154.0</v>
      </c>
      <c r="F6" s="35">
        <v>1.0</v>
      </c>
      <c r="G6" s="26">
        <v>19.0</v>
      </c>
      <c r="H6" s="26">
        <v>507.0</v>
      </c>
      <c r="I6" s="38">
        <f t="shared" ref="I6:I28" si="1">B6/C6+D6/E6</f>
        <v>0.5277518553</v>
      </c>
      <c r="J6" s="38">
        <f t="shared" ref="J6:J28" si="2">(H6/G6)</f>
        <v>26.68421053</v>
      </c>
      <c r="K6" s="38">
        <f t="shared" ref="K6:K28" si="3">I6*J6</f>
        <v>14.08264161</v>
      </c>
      <c r="L6" s="42">
        <f t="shared" ref="L6:L28" si="4">(K6/$K$29)</f>
        <v>0.004601620625</v>
      </c>
      <c r="M6" s="44">
        <f t="shared" ref="M6:M28" si="5">(L6*$K$1)</f>
        <v>441.75558</v>
      </c>
    </row>
    <row r="7" ht="14.25" customHeight="1">
      <c r="A7" s="26" t="s">
        <v>36</v>
      </c>
      <c r="B7" s="26">
        <v>23.0</v>
      </c>
      <c r="C7" s="26">
        <v>78.0</v>
      </c>
      <c r="D7" s="26">
        <v>145.0</v>
      </c>
      <c r="E7" s="26">
        <v>1060.0</v>
      </c>
      <c r="F7" s="35">
        <v>4.0</v>
      </c>
      <c r="G7" s="26">
        <v>17.0</v>
      </c>
      <c r="H7" s="26">
        <v>15230.0</v>
      </c>
      <c r="I7" s="38">
        <f t="shared" si="1"/>
        <v>0.4316642477</v>
      </c>
      <c r="J7" s="38">
        <f t="shared" si="2"/>
        <v>895.8823529</v>
      </c>
      <c r="K7" s="38">
        <f t="shared" si="3"/>
        <v>386.7203819</v>
      </c>
      <c r="L7" s="42">
        <f t="shared" si="4"/>
        <v>0.1263641108</v>
      </c>
      <c r="M7" s="44">
        <f t="shared" si="5"/>
        <v>12130.95464</v>
      </c>
    </row>
    <row r="8" ht="14.25" customHeight="1">
      <c r="A8" s="26" t="s">
        <v>37</v>
      </c>
      <c r="B8" s="48">
        <v>13.0</v>
      </c>
      <c r="C8" s="49">
        <v>30.0</v>
      </c>
      <c r="D8" s="49">
        <v>97.0</v>
      </c>
      <c r="E8" s="49">
        <v>319.0</v>
      </c>
      <c r="F8" s="49">
        <v>1.0</v>
      </c>
      <c r="G8" s="49">
        <v>10.0</v>
      </c>
      <c r="H8" s="49">
        <v>2850.0</v>
      </c>
      <c r="I8" s="38">
        <f t="shared" si="1"/>
        <v>0.7374085684</v>
      </c>
      <c r="J8" s="38">
        <f t="shared" si="2"/>
        <v>285</v>
      </c>
      <c r="K8" s="38">
        <f t="shared" si="3"/>
        <v>210.161442</v>
      </c>
      <c r="L8" s="42">
        <f t="shared" si="4"/>
        <v>0.06867200436</v>
      </c>
      <c r="M8" s="44">
        <f t="shared" si="5"/>
        <v>6592.512418</v>
      </c>
    </row>
    <row r="9" ht="14.25" customHeight="1">
      <c r="A9" s="26" t="s">
        <v>38</v>
      </c>
      <c r="B9" s="53">
        <v>49.0</v>
      </c>
      <c r="C9" s="26">
        <v>61.0</v>
      </c>
      <c r="D9" s="53">
        <v>521.0</v>
      </c>
      <c r="E9" s="53">
        <v>736.0</v>
      </c>
      <c r="F9" s="55">
        <v>5.0</v>
      </c>
      <c r="G9" s="53">
        <v>202.0</v>
      </c>
      <c r="H9" s="53">
        <v>9040.0</v>
      </c>
      <c r="I9" s="38">
        <f t="shared" si="1"/>
        <v>1.511159123</v>
      </c>
      <c r="J9" s="38">
        <f t="shared" si="2"/>
        <v>44.75247525</v>
      </c>
      <c r="K9" s="38">
        <f t="shared" si="3"/>
        <v>67.62811126</v>
      </c>
      <c r="L9" s="42">
        <f t="shared" si="4"/>
        <v>0.02209804951</v>
      </c>
      <c r="M9" s="44">
        <f t="shared" si="5"/>
        <v>2121.412753</v>
      </c>
    </row>
    <row r="10" ht="14.25" customHeight="1">
      <c r="A10" s="26" t="s">
        <v>39</v>
      </c>
      <c r="B10" s="26">
        <v>44.0</v>
      </c>
      <c r="C10" s="26">
        <v>129.0</v>
      </c>
      <c r="D10" s="26">
        <v>219.0</v>
      </c>
      <c r="E10" s="26">
        <v>489.0</v>
      </c>
      <c r="F10" s="35">
        <v>1.0</v>
      </c>
      <c r="G10" s="26">
        <v>52.0</v>
      </c>
      <c r="H10" s="26">
        <v>4438.0</v>
      </c>
      <c r="I10" s="38">
        <f t="shared" si="1"/>
        <v>0.7889380321</v>
      </c>
      <c r="J10" s="38">
        <f t="shared" si="2"/>
        <v>85.34615385</v>
      </c>
      <c r="K10" s="38">
        <f t="shared" si="3"/>
        <v>67.33282666</v>
      </c>
      <c r="L10" s="42">
        <f t="shared" si="4"/>
        <v>0.02200156281</v>
      </c>
      <c r="M10" s="44">
        <f t="shared" si="5"/>
        <v>2112.150029</v>
      </c>
    </row>
    <row r="11" ht="14.25" customHeight="1">
      <c r="A11" s="26" t="s">
        <v>40</v>
      </c>
      <c r="B11" s="26">
        <v>20.0</v>
      </c>
      <c r="C11" s="26">
        <v>29.0</v>
      </c>
      <c r="D11" s="26">
        <v>128.0</v>
      </c>
      <c r="E11" s="26">
        <v>302.0</v>
      </c>
      <c r="F11" s="35">
        <v>1.0</v>
      </c>
      <c r="G11" s="26">
        <v>12.0</v>
      </c>
      <c r="H11" s="26">
        <v>1910.0</v>
      </c>
      <c r="I11" s="38">
        <f t="shared" si="1"/>
        <v>1.113496232</v>
      </c>
      <c r="J11" s="38">
        <f t="shared" si="2"/>
        <v>159.1666667</v>
      </c>
      <c r="K11" s="38">
        <f t="shared" si="3"/>
        <v>177.2314836</v>
      </c>
      <c r="L11" s="42">
        <f t="shared" si="4"/>
        <v>0.05791186574</v>
      </c>
      <c r="M11" s="44">
        <f t="shared" si="5"/>
        <v>5559.539111</v>
      </c>
    </row>
    <row r="12" ht="14.25" customHeight="1">
      <c r="A12" s="26" t="s">
        <v>41</v>
      </c>
      <c r="B12" s="26">
        <v>7.0</v>
      </c>
      <c r="C12" s="26">
        <v>42.0</v>
      </c>
      <c r="D12" s="26">
        <f>55+35</f>
        <v>90</v>
      </c>
      <c r="E12" s="26">
        <v>694.0</v>
      </c>
      <c r="F12" s="35">
        <v>2.0</v>
      </c>
      <c r="G12" s="26">
        <v>8.0</v>
      </c>
      <c r="H12" s="26">
        <v>410.0</v>
      </c>
      <c r="I12" s="38">
        <f t="shared" si="1"/>
        <v>0.2963496638</v>
      </c>
      <c r="J12" s="38">
        <f t="shared" si="2"/>
        <v>51.25</v>
      </c>
      <c r="K12" s="38">
        <f t="shared" si="3"/>
        <v>15.18792027</v>
      </c>
      <c r="L12" s="42">
        <f t="shared" si="4"/>
        <v>0.004962779647</v>
      </c>
      <c r="M12" s="44">
        <f t="shared" si="5"/>
        <v>476.4268461</v>
      </c>
    </row>
    <row r="13" ht="14.25" customHeight="1">
      <c r="A13" s="26" t="s">
        <v>42</v>
      </c>
      <c r="B13" s="26">
        <v>12.0</v>
      </c>
      <c r="C13" s="26">
        <v>38.0</v>
      </c>
      <c r="D13" s="26">
        <v>195.0</v>
      </c>
      <c r="E13" s="26">
        <v>724.0</v>
      </c>
      <c r="F13" s="35">
        <v>1.0</v>
      </c>
      <c r="G13" s="26">
        <v>10.0</v>
      </c>
      <c r="H13" s="26">
        <v>365.0</v>
      </c>
      <c r="I13" s="38">
        <f t="shared" si="1"/>
        <v>0.5851264903</v>
      </c>
      <c r="J13" s="38">
        <f t="shared" si="2"/>
        <v>36.5</v>
      </c>
      <c r="K13" s="38">
        <f t="shared" si="3"/>
        <v>21.35711689</v>
      </c>
      <c r="L13" s="42">
        <f t="shared" si="4"/>
        <v>0.006978616108</v>
      </c>
      <c r="M13" s="44">
        <f t="shared" si="5"/>
        <v>669.9471464</v>
      </c>
    </row>
    <row r="14" ht="14.25" customHeight="1">
      <c r="A14" s="26" t="s">
        <v>43</v>
      </c>
      <c r="B14" s="26">
        <v>36.0</v>
      </c>
      <c r="C14" s="26">
        <v>63.0</v>
      </c>
      <c r="D14" s="26">
        <v>127.0</v>
      </c>
      <c r="E14" s="26">
        <v>1846.0</v>
      </c>
      <c r="F14" s="35">
        <v>3.0</v>
      </c>
      <c r="G14" s="26">
        <v>14.0</v>
      </c>
      <c r="H14" s="26">
        <v>1035.0</v>
      </c>
      <c r="I14" s="38">
        <f t="shared" si="1"/>
        <v>0.6402259712</v>
      </c>
      <c r="J14" s="38">
        <f t="shared" si="2"/>
        <v>73.92857143</v>
      </c>
      <c r="K14" s="38">
        <f t="shared" si="3"/>
        <v>47.33099144</v>
      </c>
      <c r="L14" s="42">
        <f t="shared" si="4"/>
        <v>0.01546579629</v>
      </c>
      <c r="M14" s="44">
        <f t="shared" si="5"/>
        <v>1484.716444</v>
      </c>
    </row>
    <row r="15" ht="14.25" customHeight="1">
      <c r="A15" s="26" t="s">
        <v>44</v>
      </c>
      <c r="B15" s="26">
        <v>27.0</v>
      </c>
      <c r="C15" s="26">
        <v>42.0</v>
      </c>
      <c r="D15" s="26">
        <v>115.0</v>
      </c>
      <c r="E15" s="26">
        <v>268.0</v>
      </c>
      <c r="F15" s="35">
        <v>1.0</v>
      </c>
      <c r="G15" s="26">
        <v>14.0</v>
      </c>
      <c r="H15" s="26">
        <v>2173.0</v>
      </c>
      <c r="I15" s="38">
        <f t="shared" si="1"/>
        <v>1.07196162</v>
      </c>
      <c r="J15" s="38">
        <f t="shared" si="2"/>
        <v>155.2142857</v>
      </c>
      <c r="K15" s="38">
        <f t="shared" si="3"/>
        <v>166.3837572</v>
      </c>
      <c r="L15" s="42">
        <f t="shared" si="4"/>
        <v>0.05436728066</v>
      </c>
      <c r="M15" s="44">
        <f t="shared" si="5"/>
        <v>5219.258943</v>
      </c>
    </row>
    <row r="16" ht="14.25" customHeight="1">
      <c r="A16" s="26" t="s">
        <v>45</v>
      </c>
      <c r="B16" s="26">
        <v>11.0</v>
      </c>
      <c r="C16" s="26">
        <v>29.0</v>
      </c>
      <c r="D16" s="26">
        <v>77.0</v>
      </c>
      <c r="E16" s="26">
        <v>594.0</v>
      </c>
      <c r="F16" s="35">
        <v>1.0</v>
      </c>
      <c r="G16" s="26">
        <v>19.0</v>
      </c>
      <c r="H16" s="26">
        <v>2941.0</v>
      </c>
      <c r="I16" s="38">
        <f t="shared" si="1"/>
        <v>0.5089399745</v>
      </c>
      <c r="J16" s="38">
        <f t="shared" si="2"/>
        <v>154.7894737</v>
      </c>
      <c r="K16" s="38">
        <f t="shared" si="3"/>
        <v>78.77855078</v>
      </c>
      <c r="L16" s="42">
        <f t="shared" si="4"/>
        <v>0.02574154864</v>
      </c>
      <c r="M16" s="44">
        <f t="shared" si="5"/>
        <v>2471.18867</v>
      </c>
    </row>
    <row r="17" ht="14.25" customHeight="1">
      <c r="A17" s="26" t="s">
        <v>46</v>
      </c>
      <c r="B17" s="26">
        <v>10.0</v>
      </c>
      <c r="C17" s="26">
        <v>43.0</v>
      </c>
      <c r="D17" s="26">
        <f>13+25+1</f>
        <v>39</v>
      </c>
      <c r="E17" s="26">
        <v>566.0</v>
      </c>
      <c r="F17" s="35">
        <v>3.0</v>
      </c>
      <c r="G17" s="26">
        <v>3.0</v>
      </c>
      <c r="H17" s="26">
        <v>16.0</v>
      </c>
      <c r="I17" s="38">
        <f t="shared" si="1"/>
        <v>0.3014627332</v>
      </c>
      <c r="J17" s="38">
        <f t="shared" si="2"/>
        <v>5.333333333</v>
      </c>
      <c r="K17" s="38">
        <f t="shared" si="3"/>
        <v>1.607801244</v>
      </c>
      <c r="L17" s="42">
        <f t="shared" si="4"/>
        <v>0.0005253624687</v>
      </c>
      <c r="M17" s="44">
        <f t="shared" si="5"/>
        <v>50.434797</v>
      </c>
    </row>
    <row r="18" ht="14.25" customHeight="1">
      <c r="A18" s="26" t="s">
        <v>47</v>
      </c>
      <c r="B18" s="26">
        <v>10.0</v>
      </c>
      <c r="C18" s="26">
        <v>18.0</v>
      </c>
      <c r="D18" s="26">
        <v>9.0</v>
      </c>
      <c r="E18" s="26">
        <v>191.0</v>
      </c>
      <c r="F18" s="35">
        <v>1.0</v>
      </c>
      <c r="G18" s="26">
        <v>2.0</v>
      </c>
      <c r="H18" s="26">
        <v>215.0</v>
      </c>
      <c r="I18" s="38">
        <f t="shared" si="1"/>
        <v>0.6026759744</v>
      </c>
      <c r="J18" s="38">
        <f t="shared" si="2"/>
        <v>107.5</v>
      </c>
      <c r="K18" s="38">
        <f t="shared" si="3"/>
        <v>64.78766725</v>
      </c>
      <c r="L18" s="42">
        <f t="shared" si="4"/>
        <v>0.02116991074</v>
      </c>
      <c r="M18" s="44">
        <f t="shared" si="5"/>
        <v>2032.311431</v>
      </c>
    </row>
    <row r="19" ht="14.25" customHeight="1">
      <c r="A19" s="26" t="s">
        <v>48</v>
      </c>
      <c r="B19" s="26">
        <v>31.0</v>
      </c>
      <c r="C19" s="26">
        <v>79.0</v>
      </c>
      <c r="D19" s="26">
        <v>108.0</v>
      </c>
      <c r="E19" s="26">
        <v>607.0</v>
      </c>
      <c r="F19" s="35">
        <v>1.0</v>
      </c>
      <c r="G19" s="26">
        <v>10.0</v>
      </c>
      <c r="H19" s="53">
        <v>3406.0</v>
      </c>
      <c r="I19" s="38">
        <f t="shared" si="1"/>
        <v>0.5703292808</v>
      </c>
      <c r="J19" s="38">
        <f t="shared" si="2"/>
        <v>340.6</v>
      </c>
      <c r="K19" s="38">
        <f t="shared" si="3"/>
        <v>194.254153</v>
      </c>
      <c r="L19" s="42">
        <f t="shared" si="4"/>
        <v>0.06347416498</v>
      </c>
      <c r="M19" s="44">
        <f t="shared" si="5"/>
        <v>6093.519838</v>
      </c>
    </row>
    <row r="20" ht="14.25" customHeight="1">
      <c r="A20" s="26" t="s">
        <v>49</v>
      </c>
      <c r="B20" s="48">
        <v>10.0</v>
      </c>
      <c r="C20" s="49">
        <v>23.0</v>
      </c>
      <c r="D20" s="49">
        <v>76.0</v>
      </c>
      <c r="E20" s="49">
        <v>250.0</v>
      </c>
      <c r="F20" s="49">
        <v>1.0</v>
      </c>
      <c r="G20" s="49">
        <v>8.0</v>
      </c>
      <c r="H20" s="49">
        <v>2239.0</v>
      </c>
      <c r="I20" s="38">
        <f t="shared" si="1"/>
        <v>0.7387826087</v>
      </c>
      <c r="J20" s="38">
        <f t="shared" si="2"/>
        <v>279.875</v>
      </c>
      <c r="K20" s="38">
        <f t="shared" si="3"/>
        <v>206.7667826</v>
      </c>
      <c r="L20" s="42">
        <f t="shared" si="4"/>
        <v>0.06756277108</v>
      </c>
      <c r="M20" s="44">
        <f t="shared" si="5"/>
        <v>6486.026024</v>
      </c>
    </row>
    <row r="21" ht="14.25" customHeight="1">
      <c r="A21" s="26" t="s">
        <v>50</v>
      </c>
      <c r="B21" s="26">
        <v>48.0</v>
      </c>
      <c r="C21" s="26">
        <v>102.0</v>
      </c>
      <c r="D21" s="26">
        <v>293.0</v>
      </c>
      <c r="E21" s="26">
        <v>2169.0</v>
      </c>
      <c r="F21" s="35">
        <v>14.0</v>
      </c>
      <c r="G21" s="26">
        <v>78.0</v>
      </c>
      <c r="H21" s="26">
        <v>9938.0</v>
      </c>
      <c r="I21" s="38">
        <f t="shared" si="1"/>
        <v>0.6056735281</v>
      </c>
      <c r="J21" s="38">
        <f t="shared" si="2"/>
        <v>127.4102564</v>
      </c>
      <c r="K21" s="38">
        <f t="shared" si="3"/>
        <v>77.16901951</v>
      </c>
      <c r="L21" s="42">
        <f t="shared" si="4"/>
        <v>0.02521562087</v>
      </c>
      <c r="M21" s="44">
        <f t="shared" si="5"/>
        <v>2420.699604</v>
      </c>
    </row>
    <row r="22" ht="14.25" customHeight="1">
      <c r="A22" s="26" t="s">
        <v>51</v>
      </c>
      <c r="B22" s="26">
        <v>12.0</v>
      </c>
      <c r="C22" s="26">
        <v>28.0</v>
      </c>
      <c r="D22" s="26">
        <v>39.0</v>
      </c>
      <c r="E22" s="26">
        <v>373.0</v>
      </c>
      <c r="F22" s="55">
        <v>2.0</v>
      </c>
      <c r="G22" s="26">
        <v>5.0</v>
      </c>
      <c r="H22" s="26">
        <v>141.0</v>
      </c>
      <c r="I22" s="38">
        <f t="shared" si="1"/>
        <v>0.5331290693</v>
      </c>
      <c r="J22" s="38">
        <f t="shared" si="2"/>
        <v>28.2</v>
      </c>
      <c r="K22" s="38">
        <f t="shared" si="3"/>
        <v>15.03423975</v>
      </c>
      <c r="L22" s="42">
        <f t="shared" si="4"/>
        <v>0.004912563257</v>
      </c>
      <c r="M22" s="44">
        <f t="shared" si="5"/>
        <v>471.6060726</v>
      </c>
    </row>
    <row r="23" ht="14.25" customHeight="1">
      <c r="A23" s="26" t="s">
        <v>52</v>
      </c>
      <c r="B23" s="26">
        <v>14.0</v>
      </c>
      <c r="C23" s="26">
        <v>20.0</v>
      </c>
      <c r="D23" s="26">
        <v>170.0</v>
      </c>
      <c r="E23" s="26">
        <v>615.0</v>
      </c>
      <c r="F23" s="35">
        <v>1.0</v>
      </c>
      <c r="G23" s="26">
        <v>24.0</v>
      </c>
      <c r="H23" s="26">
        <v>1419.0</v>
      </c>
      <c r="I23" s="38">
        <f t="shared" si="1"/>
        <v>0.9764227642</v>
      </c>
      <c r="J23" s="38">
        <f t="shared" si="2"/>
        <v>59.125</v>
      </c>
      <c r="K23" s="38">
        <f t="shared" si="3"/>
        <v>57.73099593</v>
      </c>
      <c r="L23" s="42">
        <f t="shared" si="4"/>
        <v>0.01886408452</v>
      </c>
      <c r="M23" s="44">
        <f t="shared" si="5"/>
        <v>1810.952114</v>
      </c>
    </row>
    <row r="24" ht="14.25" customHeight="1">
      <c r="A24" s="26" t="s">
        <v>53</v>
      </c>
      <c r="B24" s="26">
        <v>8.0</v>
      </c>
      <c r="C24" s="26">
        <v>35.0</v>
      </c>
      <c r="D24" s="26">
        <v>50.0</v>
      </c>
      <c r="E24" s="26">
        <v>299.0</v>
      </c>
      <c r="F24" s="35">
        <v>1.0</v>
      </c>
      <c r="G24" s="26">
        <v>9.0</v>
      </c>
      <c r="H24" s="26">
        <v>2120.0</v>
      </c>
      <c r="I24" s="38">
        <f t="shared" si="1"/>
        <v>0.3957955088</v>
      </c>
      <c r="J24" s="38">
        <f t="shared" si="2"/>
        <v>235.5555556</v>
      </c>
      <c r="K24" s="38">
        <f t="shared" si="3"/>
        <v>93.23183097</v>
      </c>
      <c r="L24" s="42">
        <f t="shared" si="4"/>
        <v>0.03046427852</v>
      </c>
      <c r="M24" s="44">
        <f t="shared" si="5"/>
        <v>2924.570738</v>
      </c>
    </row>
    <row r="25" ht="14.25" customHeight="1">
      <c r="A25" s="26" t="s">
        <v>54</v>
      </c>
      <c r="B25" s="26">
        <v>15.0</v>
      </c>
      <c r="C25" s="26">
        <v>28.0</v>
      </c>
      <c r="D25" s="26">
        <v>9.0</v>
      </c>
      <c r="E25" s="26">
        <v>650.0</v>
      </c>
      <c r="F25" s="35">
        <v>1.0</v>
      </c>
      <c r="G25" s="26">
        <v>10.0</v>
      </c>
      <c r="H25" s="26">
        <v>668.0</v>
      </c>
      <c r="I25" s="38">
        <f t="shared" si="1"/>
        <v>0.5495604396</v>
      </c>
      <c r="J25" s="38">
        <f t="shared" si="2"/>
        <v>66.8</v>
      </c>
      <c r="K25" s="38">
        <f t="shared" si="3"/>
        <v>36.71063736</v>
      </c>
      <c r="L25" s="42">
        <f t="shared" si="4"/>
        <v>0.011995507</v>
      </c>
      <c r="M25" s="44">
        <f t="shared" si="5"/>
        <v>1151.568672</v>
      </c>
    </row>
    <row r="26" ht="14.25" customHeight="1">
      <c r="A26" s="26" t="s">
        <v>55</v>
      </c>
      <c r="B26" s="26">
        <v>17.0</v>
      </c>
      <c r="C26" s="26">
        <v>37.0</v>
      </c>
      <c r="D26" s="26">
        <v>57.0</v>
      </c>
      <c r="E26" s="26">
        <v>528.0</v>
      </c>
      <c r="F26" s="35">
        <v>1.0</v>
      </c>
      <c r="G26" s="26">
        <v>11.0</v>
      </c>
      <c r="H26" s="26">
        <v>1643.0</v>
      </c>
      <c r="I26" s="38">
        <f t="shared" si="1"/>
        <v>0.5674140049</v>
      </c>
      <c r="J26" s="38">
        <f t="shared" si="2"/>
        <v>149.3636364</v>
      </c>
      <c r="K26" s="38">
        <f t="shared" si="3"/>
        <v>84.7510191</v>
      </c>
      <c r="L26" s="42">
        <f t="shared" si="4"/>
        <v>0.02769310249</v>
      </c>
      <c r="M26" s="44">
        <f t="shared" si="5"/>
        <v>2658.537839</v>
      </c>
    </row>
    <row r="27" ht="14.25" customHeight="1">
      <c r="A27" s="26" t="s">
        <v>56</v>
      </c>
      <c r="B27" s="26">
        <v>13.0</v>
      </c>
      <c r="C27" s="26">
        <v>24.0</v>
      </c>
      <c r="D27" s="26">
        <v>178.0</v>
      </c>
      <c r="E27" s="26">
        <v>355.0</v>
      </c>
      <c r="F27" s="35">
        <v>1.0</v>
      </c>
      <c r="G27" s="26">
        <v>8.0</v>
      </c>
      <c r="H27" s="26">
        <v>867.0</v>
      </c>
      <c r="I27" s="38">
        <f t="shared" si="1"/>
        <v>1.043075117</v>
      </c>
      <c r="J27" s="38">
        <f t="shared" si="2"/>
        <v>108.375</v>
      </c>
      <c r="K27" s="38">
        <f t="shared" si="3"/>
        <v>113.0432658</v>
      </c>
      <c r="L27" s="42">
        <f t="shared" si="4"/>
        <v>0.03693783013</v>
      </c>
      <c r="M27" s="44">
        <f t="shared" si="5"/>
        <v>3546.031692</v>
      </c>
    </row>
    <row r="28" ht="14.25" customHeight="1">
      <c r="A28" s="26" t="s">
        <v>57</v>
      </c>
      <c r="B28" s="26">
        <v>8.0</v>
      </c>
      <c r="C28" s="26">
        <v>43.0</v>
      </c>
      <c r="D28" s="26">
        <v>22.0</v>
      </c>
      <c r="E28" s="26">
        <v>764.0</v>
      </c>
      <c r="F28" s="35">
        <v>2.0</v>
      </c>
      <c r="G28" s="26">
        <v>7.0</v>
      </c>
      <c r="H28" s="26">
        <v>28121.0</v>
      </c>
      <c r="I28" s="38">
        <f t="shared" si="1"/>
        <v>0.2148423231</v>
      </c>
      <c r="J28" s="38">
        <f t="shared" si="2"/>
        <v>4017.285714</v>
      </c>
      <c r="K28" s="38">
        <f t="shared" si="3"/>
        <v>863.0829956</v>
      </c>
      <c r="L28" s="42">
        <f t="shared" si="4"/>
        <v>0.2820195687</v>
      </c>
      <c r="M28" s="44">
        <f t="shared" si="5"/>
        <v>27073.8786</v>
      </c>
    </row>
    <row r="29" ht="14.25" customHeight="1">
      <c r="A29" s="73"/>
      <c r="B29" s="73"/>
      <c r="C29" s="75"/>
      <c r="D29" s="73"/>
      <c r="E29" s="73"/>
      <c r="F29" s="75"/>
      <c r="G29" s="73"/>
      <c r="H29" s="73"/>
      <c r="I29" s="76">
        <f>SUM(I5:I28)</f>
        <v>15.31218513</v>
      </c>
      <c r="J29" s="76"/>
      <c r="K29" s="76">
        <f>SUM(K5:K28)</f>
        <v>3060.365632</v>
      </c>
      <c r="L29" s="42">
        <f>SUM(L6:L28)</f>
        <v>1</v>
      </c>
      <c r="M29" s="78">
        <f>SUM(M5:M28)</f>
        <v>96000</v>
      </c>
    </row>
    <row r="30" ht="14.25" customHeight="1">
      <c r="A30" s="71" t="s">
        <v>60</v>
      </c>
    </row>
    <row r="31" ht="14.25" customHeight="1">
      <c r="A31" s="71" t="s">
        <v>61</v>
      </c>
    </row>
    <row r="32" ht="14.25" customHeight="1"/>
    <row r="33" ht="14.25" customHeight="1"/>
    <row r="34" ht="14.25" customHeight="1">
      <c r="A34" s="26" t="s">
        <v>64</v>
      </c>
      <c r="B34" s="26">
        <v>23.0</v>
      </c>
      <c r="C34" s="26">
        <v>53.0</v>
      </c>
      <c r="D34" s="26">
        <f>132+41</f>
        <v>173</v>
      </c>
      <c r="E34" s="26">
        <v>569.0</v>
      </c>
      <c r="F34" s="81">
        <v>2.0</v>
      </c>
      <c r="G34" s="26">
        <v>18.0</v>
      </c>
      <c r="H34" s="26">
        <v>5089.0</v>
      </c>
      <c r="I34" s="83">
        <f>B34/C34+D34/E34</f>
        <v>0.7380044434</v>
      </c>
      <c r="J34" s="83">
        <f>G34/H34</f>
        <v>0.003537040676</v>
      </c>
      <c r="K34" s="83">
        <f>I34*J34</f>
        <v>0.002610351735</v>
      </c>
      <c r="L34" s="87">
        <f>(K34/$K$29)</f>
        <v>0.0000008529542053</v>
      </c>
      <c r="M34" s="44">
        <f>(L34*$K$1)</f>
        <v>0.08188360371</v>
      </c>
    </row>
    <row r="35" ht="14.25" customHeight="1"/>
    <row r="36" ht="14.25" customHeight="1">
      <c r="A36" s="26" t="s">
        <v>69</v>
      </c>
      <c r="B36" s="26">
        <v>37.0</v>
      </c>
      <c r="C36" s="26">
        <v>100.0</v>
      </c>
      <c r="D36" s="26">
        <v>131.0</v>
      </c>
      <c r="E36" s="26">
        <v>1571.0</v>
      </c>
      <c r="F36" s="35">
        <v>6.0</v>
      </c>
      <c r="G36" s="26">
        <v>16.0</v>
      </c>
      <c r="H36" s="26">
        <v>2078.0</v>
      </c>
      <c r="I36" s="38">
        <f>B36/C36+D36/E36</f>
        <v>0.4533863781</v>
      </c>
      <c r="J36" s="38">
        <f>G36/H36</f>
        <v>0.007699711261</v>
      </c>
      <c r="K36" s="38">
        <f>I36*J36</f>
        <v>0.003490944201</v>
      </c>
      <c r="L36" s="42">
        <f>(K36/$K$29)</f>
        <v>0.000001140695139</v>
      </c>
      <c r="M36" s="44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H3:H4"/>
    <mergeCell ref="I3:I4"/>
    <mergeCell ref="J3:J4"/>
    <mergeCell ref="K3:K4"/>
    <mergeCell ref="L3:L4"/>
    <mergeCell ref="M3:M4"/>
    <mergeCell ref="G1:J1"/>
    <mergeCell ref="A3:A4"/>
    <mergeCell ref="B3:B4"/>
    <mergeCell ref="C3:C4"/>
    <mergeCell ref="D3:D4"/>
    <mergeCell ref="E3:E4"/>
    <mergeCell ref="G3:G4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9.43"/>
    <col customWidth="1" min="3" max="3" width="13.29"/>
    <col customWidth="1" min="4" max="5" width="14.29"/>
    <col customWidth="1" min="6" max="6" width="23.57"/>
    <col customWidth="1" min="7" max="7" width="6.86"/>
    <col customWidth="1" min="8" max="8" width="18.29"/>
    <col customWidth="1" min="9" max="9" width="15.43"/>
    <col customWidth="1" min="10" max="10" width="27.0"/>
    <col customWidth="1" min="11" max="26" width="9.86"/>
  </cols>
  <sheetData>
    <row r="1" ht="14.25" customHeight="1">
      <c r="B1" s="77"/>
      <c r="C1" s="77"/>
      <c r="D1" s="77"/>
      <c r="E1" s="77"/>
      <c r="F1" s="77"/>
    </row>
    <row r="2" ht="14.25" customHeight="1">
      <c r="B2" s="79" t="s">
        <v>1</v>
      </c>
      <c r="C2" s="79" t="s">
        <v>65</v>
      </c>
      <c r="D2" s="79" t="s">
        <v>66</v>
      </c>
      <c r="E2" s="80" t="s">
        <v>67</v>
      </c>
      <c r="F2" s="82" t="s">
        <v>58</v>
      </c>
      <c r="H2" s="84" t="s">
        <v>68</v>
      </c>
      <c r="I2" s="4"/>
      <c r="J2" s="85">
        <v>320000.0</v>
      </c>
    </row>
    <row r="3" ht="14.25" customHeight="1">
      <c r="B3" s="32"/>
      <c r="C3" s="86"/>
      <c r="D3" s="88"/>
      <c r="E3" s="89"/>
      <c r="F3" s="90"/>
    </row>
    <row r="4" ht="14.25" customHeight="1">
      <c r="B4" s="32" t="s">
        <v>34</v>
      </c>
      <c r="C4" s="86">
        <f>'Extensão'!M6</f>
        <v>441.75558</v>
      </c>
      <c r="D4" s="88">
        <f>'Ensino de Graduação_'!R5</f>
        <v>5440.232047</v>
      </c>
      <c r="E4" s="89">
        <f>'Ensino Pós-Graduação'!I5</f>
        <v>3891.847159</v>
      </c>
      <c r="F4" s="90">
        <f t="shared" ref="F4:F26" si="1">C4+D4+E4</f>
        <v>9773.834786</v>
      </c>
      <c r="H4" s="91" t="s">
        <v>70</v>
      </c>
      <c r="I4" s="91" t="s">
        <v>71</v>
      </c>
      <c r="J4" s="91" t="s">
        <v>72</v>
      </c>
    </row>
    <row r="5" ht="14.25" customHeight="1">
      <c r="B5" s="32" t="s">
        <v>36</v>
      </c>
      <c r="C5" s="86">
        <f>'Extensão'!M7</f>
        <v>12130.95464</v>
      </c>
      <c r="D5" s="88">
        <f>'Ensino de Graduação_'!R6</f>
        <v>17498.01277</v>
      </c>
      <c r="E5" s="89">
        <f>'Ensino Pós-Graduação'!I6</f>
        <v>1929.849242</v>
      </c>
      <c r="F5" s="90">
        <f t="shared" si="1"/>
        <v>31558.81665</v>
      </c>
      <c r="H5" s="32" t="s">
        <v>66</v>
      </c>
      <c r="I5" s="92">
        <v>0.4</v>
      </c>
      <c r="J5" s="94">
        <f>($J$2*0.4)</f>
        <v>128000</v>
      </c>
    </row>
    <row r="6" ht="14.25" customHeight="1">
      <c r="B6" s="32" t="s">
        <v>37</v>
      </c>
      <c r="C6" s="86">
        <f>'Extensão'!M8</f>
        <v>6592.512418</v>
      </c>
      <c r="D6" s="88">
        <f>'Ensino de Graduação_'!R7</f>
        <v>4018.89647</v>
      </c>
      <c r="E6" s="89">
        <f>'Ensino Pós-Graduação'!I7</f>
        <v>5761.982686</v>
      </c>
      <c r="F6" s="90">
        <f t="shared" si="1"/>
        <v>16373.39157</v>
      </c>
      <c r="H6" s="32" t="s">
        <v>67</v>
      </c>
      <c r="I6" s="92">
        <v>0.3</v>
      </c>
      <c r="J6" s="94">
        <f t="shared" ref="J6:J7" si="2">($J$2*0.3)</f>
        <v>96000</v>
      </c>
    </row>
    <row r="7" ht="14.25" customHeight="1">
      <c r="B7" s="32" t="s">
        <v>38</v>
      </c>
      <c r="C7" s="86">
        <f>'Extensão'!M9</f>
        <v>2121.412753</v>
      </c>
      <c r="D7" s="88">
        <f>'Ensino de Graduação_'!R8</f>
        <v>3180.082182</v>
      </c>
      <c r="E7" s="89">
        <f>'Ensino Pós-Graduação'!I8</f>
        <v>6161.916741</v>
      </c>
      <c r="F7" s="90">
        <f t="shared" si="1"/>
        <v>11463.41168</v>
      </c>
      <c r="H7" s="32" t="s">
        <v>65</v>
      </c>
      <c r="I7" s="92">
        <v>0.3</v>
      </c>
      <c r="J7" s="94">
        <f t="shared" si="2"/>
        <v>96000</v>
      </c>
    </row>
    <row r="8" ht="14.25" customHeight="1">
      <c r="B8" s="32" t="s">
        <v>39</v>
      </c>
      <c r="C8" s="86">
        <f>'Extensão'!M10</f>
        <v>2112.150029</v>
      </c>
      <c r="D8" s="88">
        <f>'Ensino de Graduação_'!R9</f>
        <v>20760.28913</v>
      </c>
      <c r="E8" s="89" t="str">
        <f>'Ensino Pós-Graduação'!I9</f>
        <v/>
      </c>
      <c r="F8" s="90">
        <f t="shared" si="1"/>
        <v>22872.43916</v>
      </c>
      <c r="J8" s="97"/>
    </row>
    <row r="9" ht="14.25" customHeight="1">
      <c r="B9" s="32" t="s">
        <v>40</v>
      </c>
      <c r="C9" s="86">
        <f>'Extensão'!M11</f>
        <v>5559.539111</v>
      </c>
      <c r="D9" s="88">
        <f>'Ensino de Graduação_'!R10</f>
        <v>5531.515418</v>
      </c>
      <c r="E9" s="89">
        <f>'Ensino Pós-Graduação'!I10</f>
        <v>7973.439615</v>
      </c>
      <c r="F9" s="90">
        <f t="shared" si="1"/>
        <v>19064.49414</v>
      </c>
    </row>
    <row r="10" ht="14.25" customHeight="1">
      <c r="B10" s="32" t="s">
        <v>41</v>
      </c>
      <c r="C10" s="86">
        <f>'Extensão'!M12</f>
        <v>476.4268461</v>
      </c>
      <c r="D10" s="88">
        <f>'Ensino de Graduação_'!R11</f>
        <v>5340.283969</v>
      </c>
      <c r="E10" s="89">
        <f>'Ensino Pós-Graduação'!I11</f>
        <v>3260.531225</v>
      </c>
      <c r="F10" s="90">
        <f t="shared" si="1"/>
        <v>9077.24204</v>
      </c>
    </row>
    <row r="11" ht="14.25" customHeight="1">
      <c r="B11" s="32" t="s">
        <v>42</v>
      </c>
      <c r="C11" s="86">
        <f>'Extensão'!M13</f>
        <v>669.9471464</v>
      </c>
      <c r="D11" s="88">
        <f>'Ensino de Graduação_'!R12</f>
        <v>6871.754271</v>
      </c>
      <c r="E11" s="89">
        <f>'Ensino Pós-Graduação'!I12</f>
        <v>4972.526887</v>
      </c>
      <c r="F11" s="90">
        <f t="shared" si="1"/>
        <v>12514.2283</v>
      </c>
    </row>
    <row r="12" ht="14.25" customHeight="1">
      <c r="B12" s="32" t="s">
        <v>43</v>
      </c>
      <c r="C12" s="86">
        <f>'Extensão'!M14</f>
        <v>1484.716444</v>
      </c>
      <c r="D12" s="88">
        <f>'Ensino de Graduação_'!R13</f>
        <v>8158.375102</v>
      </c>
      <c r="E12" s="89">
        <f>'Ensino Pós-Graduação'!I13</f>
        <v>8484.813098</v>
      </c>
      <c r="F12" s="90">
        <f t="shared" si="1"/>
        <v>18127.90464</v>
      </c>
    </row>
    <row r="13" ht="14.25" customHeight="1">
      <c r="B13" s="32" t="s">
        <v>44</v>
      </c>
      <c r="C13" s="86">
        <f>'Extensão'!M15</f>
        <v>5219.258943</v>
      </c>
      <c r="D13" s="88">
        <f>'Ensino de Graduação_'!R14</f>
        <v>12221.42556</v>
      </c>
      <c r="E13" s="89" t="str">
        <f>'Ensino Pós-Graduação'!I14</f>
        <v/>
      </c>
      <c r="F13" s="90">
        <f t="shared" si="1"/>
        <v>17440.6845</v>
      </c>
    </row>
    <row r="14" ht="14.25" customHeight="1">
      <c r="B14" s="32" t="s">
        <v>45</v>
      </c>
      <c r="C14" s="86">
        <f>'Extensão'!M16</f>
        <v>2471.18867</v>
      </c>
      <c r="D14" s="88">
        <f>'Ensino de Graduação_'!R15</f>
        <v>4442.334922</v>
      </c>
      <c r="E14" s="89">
        <f>'Ensino Pós-Graduação'!I15</f>
        <v>7050.199239</v>
      </c>
      <c r="F14" s="90">
        <f t="shared" si="1"/>
        <v>13963.72283</v>
      </c>
    </row>
    <row r="15" ht="14.25" customHeight="1">
      <c r="B15" s="32" t="s">
        <v>46</v>
      </c>
      <c r="C15" s="86">
        <f>'Extensão'!M17</f>
        <v>50.434797</v>
      </c>
      <c r="D15" s="88">
        <f>'Ensino de Graduação_'!R16</f>
        <v>1235.262475</v>
      </c>
      <c r="E15" s="89">
        <f>'Ensino Pós-Graduação'!I16</f>
        <v>1624.724853</v>
      </c>
      <c r="F15" s="90">
        <f t="shared" si="1"/>
        <v>2910.422125</v>
      </c>
    </row>
    <row r="16" ht="14.25" customHeight="1">
      <c r="B16" s="32" t="s">
        <v>47</v>
      </c>
      <c r="C16" s="86">
        <f>'Extensão'!M18</f>
        <v>2032.311431</v>
      </c>
      <c r="D16" s="88">
        <f>'Ensino de Graduação_'!R17</f>
        <v>864.2461447</v>
      </c>
      <c r="E16" s="89">
        <f>'Ensino Pós-Graduação'!I17</f>
        <v>3837.217815</v>
      </c>
      <c r="F16" s="90">
        <f t="shared" si="1"/>
        <v>6733.77539</v>
      </c>
    </row>
    <row r="17" ht="14.25" customHeight="1">
      <c r="B17" s="32" t="s">
        <v>48</v>
      </c>
      <c r="C17" s="86">
        <f>'Extensão'!M19</f>
        <v>6093.519838</v>
      </c>
      <c r="D17" s="88">
        <f>'Ensino de Graduação_'!R18</f>
        <v>5465.808182</v>
      </c>
      <c r="E17" s="89">
        <f>'Ensino Pós-Graduação'!I18</f>
        <v>7158.381688</v>
      </c>
      <c r="F17" s="90">
        <f t="shared" si="1"/>
        <v>18717.70971</v>
      </c>
    </row>
    <row r="18" ht="14.25" customHeight="1">
      <c r="B18" s="32" t="s">
        <v>49</v>
      </c>
      <c r="C18" s="86">
        <f>'Extensão'!M20</f>
        <v>6486.026024</v>
      </c>
      <c r="D18" s="88">
        <f>'Ensino de Graduação_'!R19</f>
        <v>4778.680263</v>
      </c>
      <c r="E18" s="89">
        <f>'Ensino Pós-Graduação'!I19</f>
        <v>4664.462175</v>
      </c>
      <c r="F18" s="90">
        <f t="shared" si="1"/>
        <v>15929.16846</v>
      </c>
    </row>
    <row r="19" ht="14.25" customHeight="1">
      <c r="B19" s="32" t="s">
        <v>50</v>
      </c>
      <c r="C19" s="86">
        <f>'Extensão'!M21</f>
        <v>2420.699604</v>
      </c>
      <c r="D19" s="88">
        <f>'Ensino de Graduação_'!R20</f>
        <v>8756.543137</v>
      </c>
      <c r="E19" s="89">
        <f>'Ensino Pós-Graduação'!I20</f>
        <v>2779.802678</v>
      </c>
      <c r="F19" s="90">
        <f t="shared" si="1"/>
        <v>13957.04542</v>
      </c>
    </row>
    <row r="20" ht="14.25" customHeight="1">
      <c r="B20" s="32" t="s">
        <v>51</v>
      </c>
      <c r="C20" s="86">
        <f>'Extensão'!M22</f>
        <v>471.6060726</v>
      </c>
      <c r="D20" s="88">
        <f>'Ensino de Graduação_'!R21</f>
        <v>744.9547238</v>
      </c>
      <c r="E20" s="89">
        <f>'Ensino Pós-Graduação'!I21</f>
        <v>4248.846635</v>
      </c>
      <c r="F20" s="90">
        <f t="shared" si="1"/>
        <v>5465.407431</v>
      </c>
    </row>
    <row r="21" ht="14.25" customHeight="1">
      <c r="B21" s="32" t="s">
        <v>52</v>
      </c>
      <c r="C21" s="86">
        <f>'Extensão'!M23</f>
        <v>1810.952114</v>
      </c>
      <c r="D21" s="88">
        <f>'Ensino de Graduação_'!R22</f>
        <v>4675.388887</v>
      </c>
      <c r="E21" s="89" t="str">
        <f>'Ensino Pós-Graduação'!I22</f>
        <v/>
      </c>
      <c r="F21" s="90">
        <f t="shared" si="1"/>
        <v>6486.341</v>
      </c>
    </row>
    <row r="22" ht="14.25" customHeight="1">
      <c r="B22" s="32" t="s">
        <v>53</v>
      </c>
      <c r="C22" s="86">
        <f>'Extensão'!M24</f>
        <v>2924.570738</v>
      </c>
      <c r="D22" s="88">
        <f>'Ensino de Graduação_'!R23</f>
        <v>544.2597863</v>
      </c>
      <c r="E22" s="89">
        <f>'Ensino Pós-Graduação'!I23</f>
        <v>4498.67563</v>
      </c>
      <c r="F22" s="90">
        <f t="shared" si="1"/>
        <v>7967.506154</v>
      </c>
    </row>
    <row r="23" ht="14.25" customHeight="1">
      <c r="B23" s="32" t="s">
        <v>54</v>
      </c>
      <c r="C23" s="86">
        <f>'Extensão'!M25</f>
        <v>1151.568672</v>
      </c>
      <c r="D23" s="88">
        <f>'Ensino de Graduação_'!R24</f>
        <v>1403.541072</v>
      </c>
      <c r="E23" s="89">
        <f>'Ensino Pós-Graduação'!I24</f>
        <v>2178.549469</v>
      </c>
      <c r="F23" s="90">
        <f t="shared" si="1"/>
        <v>4733.659213</v>
      </c>
    </row>
    <row r="24" ht="14.25" customHeight="1">
      <c r="B24" s="32" t="s">
        <v>55</v>
      </c>
      <c r="C24" s="86">
        <f>'Extensão'!M26</f>
        <v>2658.537839</v>
      </c>
      <c r="D24" s="88">
        <f>'Ensino de Graduação_'!R25</f>
        <v>795.6327855</v>
      </c>
      <c r="E24" s="89">
        <f>'Ensino Pós-Graduação'!I25</f>
        <v>2906.983193</v>
      </c>
      <c r="F24" s="90">
        <f t="shared" si="1"/>
        <v>6361.153817</v>
      </c>
    </row>
    <row r="25" ht="14.25" customHeight="1">
      <c r="B25" s="32" t="s">
        <v>56</v>
      </c>
      <c r="C25" s="86">
        <f>'Extensão'!M27</f>
        <v>3546.031692</v>
      </c>
      <c r="D25" s="88">
        <f>'Ensino de Graduação_'!R26</f>
        <v>2891.10198</v>
      </c>
      <c r="E25" s="89">
        <f>'Ensino Pós-Graduação'!I26</f>
        <v>5132.675234</v>
      </c>
      <c r="F25" s="90">
        <f t="shared" si="1"/>
        <v>11569.80891</v>
      </c>
    </row>
    <row r="26" ht="14.25" customHeight="1">
      <c r="B26" s="32" t="s">
        <v>57</v>
      </c>
      <c r="C26" s="86">
        <f>'Extensão'!M28</f>
        <v>27073.8786</v>
      </c>
      <c r="D26" s="88">
        <f>'Ensino de Graduação_'!R27</f>
        <v>2381.378721</v>
      </c>
      <c r="E26" s="89">
        <f>'Ensino Pós-Graduação'!I27</f>
        <v>7482.574739</v>
      </c>
      <c r="F26" s="90">
        <f t="shared" si="1"/>
        <v>36937.83206</v>
      </c>
    </row>
    <row r="27" ht="14.25" customHeight="1">
      <c r="B27" s="103" t="s">
        <v>58</v>
      </c>
      <c r="C27" s="104">
        <f t="shared" ref="C27:F27" si="3">SUM(C3:C26)</f>
        <v>96000</v>
      </c>
      <c r="D27" s="106">
        <f t="shared" si="3"/>
        <v>128000</v>
      </c>
      <c r="E27" s="107">
        <f t="shared" si="3"/>
        <v>96000</v>
      </c>
      <c r="F27" s="109">
        <f t="shared" si="3"/>
        <v>320000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H2:I2"/>
  </mergeCells>
  <printOptions/>
  <pageMargins bottom="0.511805555555555" footer="0.0" header="0.0" left="0.7875" right="0.7875" top="0.511805555555555"/>
  <pageSetup paperSize="14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2019-01-24T20:38:03Z</dcterms:created>
  <dc:creator>Jouber de Lima Lessa</dc:creator>
</cp:coreProperties>
</file>