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GINST\CPO\Funcionarios\CPO_2019\MATRIZES DE DISTRIBUIÇÃO DE RECURSO\"/>
    </mc:Choice>
  </mc:AlternateContent>
  <bookViews>
    <workbookView xWindow="0" yWindow="0" windowWidth="28800" windowHeight="12435" tabRatio="991" activeTab="3"/>
  </bookViews>
  <sheets>
    <sheet name="EXTENSÃO" sheetId="1" r:id="rId1"/>
    <sheet name="PÓS-GRAUAÇÃO" sheetId="2" r:id="rId2"/>
    <sheet name="GRADUAÇÃO" sheetId="3" r:id="rId3"/>
    <sheet name="GERAL" sheetId="4" r:id="rId4"/>
  </sheets>
  <calcPr calcId="152511"/>
</workbook>
</file>

<file path=xl/calcChain.xml><?xml version="1.0" encoding="utf-8"?>
<calcChain xmlns="http://schemas.openxmlformats.org/spreadsheetml/2006/main">
  <c r="F7" i="4" l="1"/>
  <c r="K8" i="3"/>
  <c r="K8" i="1"/>
  <c r="J8" i="4" l="1"/>
  <c r="J7" i="4"/>
  <c r="J6" i="4"/>
  <c r="H28" i="3"/>
  <c r="E28" i="3"/>
  <c r="C28" i="3"/>
  <c r="B28" i="3"/>
  <c r="G27" i="3"/>
  <c r="I27" i="3" s="1"/>
  <c r="D27" i="3"/>
  <c r="G26" i="3"/>
  <c r="I26" i="3" s="1"/>
  <c r="D26" i="3"/>
  <c r="G25" i="3"/>
  <c r="I25" i="3" s="1"/>
  <c r="D25" i="3"/>
  <c r="I24" i="3"/>
  <c r="G24" i="3"/>
  <c r="D24" i="3"/>
  <c r="I23" i="3"/>
  <c r="G23" i="3"/>
  <c r="D23" i="3"/>
  <c r="G22" i="3"/>
  <c r="I22" i="3" s="1"/>
  <c r="D22" i="3"/>
  <c r="G21" i="3"/>
  <c r="I21" i="3" s="1"/>
  <c r="D21" i="3"/>
  <c r="I20" i="3"/>
  <c r="G20" i="3"/>
  <c r="D20" i="3"/>
  <c r="I19" i="3"/>
  <c r="G19" i="3"/>
  <c r="D19" i="3"/>
  <c r="G18" i="3"/>
  <c r="I18" i="3" s="1"/>
  <c r="D18" i="3"/>
  <c r="I17" i="3"/>
  <c r="G17" i="3"/>
  <c r="D17" i="3"/>
  <c r="I16" i="3"/>
  <c r="G16" i="3"/>
  <c r="D16" i="3"/>
  <c r="I15" i="3"/>
  <c r="G15" i="3"/>
  <c r="D15" i="3"/>
  <c r="G14" i="3"/>
  <c r="I14" i="3" s="1"/>
  <c r="D14" i="3"/>
  <c r="G13" i="3"/>
  <c r="I13" i="3" s="1"/>
  <c r="D13" i="3"/>
  <c r="I12" i="3"/>
  <c r="G12" i="3"/>
  <c r="D12" i="3"/>
  <c r="I11" i="3"/>
  <c r="G11" i="3"/>
  <c r="D11" i="3"/>
  <c r="G10" i="3"/>
  <c r="I10" i="3" s="1"/>
  <c r="D10" i="3"/>
  <c r="G9" i="3"/>
  <c r="I9" i="3" s="1"/>
  <c r="D9" i="3"/>
  <c r="I8" i="3"/>
  <c r="G8" i="3"/>
  <c r="D8" i="3"/>
  <c r="K7" i="3"/>
  <c r="D6" i="4" s="1"/>
  <c r="I7" i="3"/>
  <c r="G6" i="3"/>
  <c r="I6" i="3" s="1"/>
  <c r="D6" i="3"/>
  <c r="I5" i="3"/>
  <c r="G5" i="3"/>
  <c r="D5" i="3"/>
  <c r="I4" i="3"/>
  <c r="G4" i="3"/>
  <c r="D4" i="3"/>
  <c r="E27" i="2"/>
  <c r="G27" i="2" s="1"/>
  <c r="E26" i="2"/>
  <c r="G26" i="2" s="1"/>
  <c r="E25" i="2"/>
  <c r="G25" i="2" s="1"/>
  <c r="E24" i="2"/>
  <c r="G24" i="2" s="1"/>
  <c r="E23" i="2"/>
  <c r="G23" i="2" s="1"/>
  <c r="G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G14" i="2"/>
  <c r="E14" i="2"/>
  <c r="G13" i="2"/>
  <c r="G12" i="2"/>
  <c r="E12" i="2"/>
  <c r="E11" i="2"/>
  <c r="G11" i="2" s="1"/>
  <c r="G10" i="2"/>
  <c r="E10" i="2"/>
  <c r="E9" i="2"/>
  <c r="G8" i="2"/>
  <c r="E8" i="2"/>
  <c r="G7" i="2"/>
  <c r="E6" i="2"/>
  <c r="G6" i="2" s="1"/>
  <c r="E5" i="2"/>
  <c r="G5" i="2" s="1"/>
  <c r="E4" i="2"/>
  <c r="G4" i="2" s="1"/>
  <c r="E28" i="1"/>
  <c r="D28" i="1"/>
  <c r="F27" i="1"/>
  <c r="B27" i="1"/>
  <c r="F26" i="1"/>
  <c r="B26" i="1"/>
  <c r="F25" i="1"/>
  <c r="B25" i="1"/>
  <c r="F24" i="1"/>
  <c r="B24" i="1"/>
  <c r="F23" i="1"/>
  <c r="B23" i="1"/>
  <c r="F22" i="1"/>
  <c r="F21" i="1"/>
  <c r="B21" i="1"/>
  <c r="F20" i="1"/>
  <c r="B20" i="1"/>
  <c r="F19" i="1"/>
  <c r="B19" i="1"/>
  <c r="F18" i="1"/>
  <c r="F17" i="1"/>
  <c r="B17" i="1"/>
  <c r="F16" i="1"/>
  <c r="B16" i="1"/>
  <c r="F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  <c r="F4" i="1"/>
  <c r="B4" i="1"/>
  <c r="J25" i="3" l="1"/>
  <c r="K25" i="3" s="1"/>
  <c r="D24" i="4" s="1"/>
  <c r="C12" i="1"/>
  <c r="G12" i="1" s="1"/>
  <c r="I12" i="1" s="1"/>
  <c r="C6" i="1"/>
  <c r="G6" i="1" s="1"/>
  <c r="I6" i="1" s="1"/>
  <c r="G9" i="2"/>
  <c r="E28" i="2"/>
  <c r="C26" i="1"/>
  <c r="G26" i="1" s="1"/>
  <c r="I26" i="1" s="1"/>
  <c r="J13" i="3"/>
  <c r="K13" i="3" s="1"/>
  <c r="D12" i="4" s="1"/>
  <c r="J9" i="3"/>
  <c r="K9" i="3" s="1"/>
  <c r="D8" i="4" s="1"/>
  <c r="C25" i="1"/>
  <c r="G25" i="1" s="1"/>
  <c r="I25" i="1" s="1"/>
  <c r="B28" i="1"/>
  <c r="I28" i="3"/>
  <c r="J10" i="3"/>
  <c r="K10" i="3" s="1"/>
  <c r="D9" i="4" s="1"/>
  <c r="G28" i="2"/>
  <c r="H11" i="2" s="1"/>
  <c r="I11" i="2" s="1"/>
  <c r="E10" i="4" s="1"/>
  <c r="H12" i="2"/>
  <c r="I12" i="2" s="1"/>
  <c r="E11" i="4" s="1"/>
  <c r="H25" i="2" l="1"/>
  <c r="I25" i="2" s="1"/>
  <c r="E24" i="4" s="1"/>
  <c r="H5" i="2"/>
  <c r="I5" i="2" s="1"/>
  <c r="E4" i="4" s="1"/>
  <c r="H9" i="2"/>
  <c r="I9" i="2" s="1"/>
  <c r="E8" i="4" s="1"/>
  <c r="H13" i="2"/>
  <c r="I13" i="2" s="1"/>
  <c r="E12" i="4" s="1"/>
  <c r="J24" i="3"/>
  <c r="K24" i="3" s="1"/>
  <c r="D23" i="4" s="1"/>
  <c r="J19" i="3"/>
  <c r="K19" i="3" s="1"/>
  <c r="D18" i="4" s="1"/>
  <c r="J8" i="3"/>
  <c r="D7" i="4" s="1"/>
  <c r="J27" i="3"/>
  <c r="K27" i="3" s="1"/>
  <c r="D26" i="4" s="1"/>
  <c r="J15" i="3"/>
  <c r="K15" i="3" s="1"/>
  <c r="D14" i="4" s="1"/>
  <c r="J23" i="3"/>
  <c r="K23" i="3" s="1"/>
  <c r="D22" i="4" s="1"/>
  <c r="J11" i="3"/>
  <c r="K11" i="3" s="1"/>
  <c r="D10" i="4" s="1"/>
  <c r="J4" i="3"/>
  <c r="J20" i="3"/>
  <c r="K20" i="3" s="1"/>
  <c r="D19" i="4" s="1"/>
  <c r="H26" i="2"/>
  <c r="I26" i="2" s="1"/>
  <c r="E25" i="4" s="1"/>
  <c r="J6" i="3"/>
  <c r="K6" i="3" s="1"/>
  <c r="D5" i="4" s="1"/>
  <c r="H7" i="2"/>
  <c r="I7" i="2" s="1"/>
  <c r="E6" i="4" s="1"/>
  <c r="C24" i="1"/>
  <c r="G24" i="1" s="1"/>
  <c r="I24" i="1" s="1"/>
  <c r="C21" i="1"/>
  <c r="G21" i="1" s="1"/>
  <c r="I21" i="1" s="1"/>
  <c r="C11" i="1"/>
  <c r="G11" i="1" s="1"/>
  <c r="I11" i="1" s="1"/>
  <c r="C18" i="1"/>
  <c r="G18" i="1" s="1"/>
  <c r="I18" i="1" s="1"/>
  <c r="C15" i="1"/>
  <c r="G15" i="1" s="1"/>
  <c r="I15" i="1" s="1"/>
  <c r="C27" i="1"/>
  <c r="G27" i="1" s="1"/>
  <c r="I27" i="1" s="1"/>
  <c r="C19" i="1"/>
  <c r="G19" i="1" s="1"/>
  <c r="I19" i="1" s="1"/>
  <c r="C17" i="1"/>
  <c r="G17" i="1" s="1"/>
  <c r="I17" i="1" s="1"/>
  <c r="C8" i="1"/>
  <c r="G8" i="1" s="1"/>
  <c r="I8" i="1" s="1"/>
  <c r="C4" i="1"/>
  <c r="G4" i="1" s="1"/>
  <c r="C14" i="1"/>
  <c r="G14" i="1" s="1"/>
  <c r="I14" i="1" s="1"/>
  <c r="C23" i="1"/>
  <c r="G23" i="1" s="1"/>
  <c r="I23" i="1" s="1"/>
  <c r="C22" i="1"/>
  <c r="G22" i="1" s="1"/>
  <c r="I22" i="1" s="1"/>
  <c r="C20" i="1"/>
  <c r="G20" i="1" s="1"/>
  <c r="I20" i="1" s="1"/>
  <c r="C10" i="1"/>
  <c r="G10" i="1" s="1"/>
  <c r="I10" i="1" s="1"/>
  <c r="C7" i="1"/>
  <c r="G7" i="1" s="1"/>
  <c r="I7" i="1" s="1"/>
  <c r="J17" i="3"/>
  <c r="K17" i="3" s="1"/>
  <c r="D16" i="4" s="1"/>
  <c r="C5" i="1"/>
  <c r="G5" i="1" s="1"/>
  <c r="I5" i="1" s="1"/>
  <c r="J21" i="3"/>
  <c r="K21" i="3" s="1"/>
  <c r="D20" i="4" s="1"/>
  <c r="C9" i="1"/>
  <c r="G9" i="1" s="1"/>
  <c r="I9" i="1" s="1"/>
  <c r="C16" i="1"/>
  <c r="G16" i="1" s="1"/>
  <c r="I16" i="1" s="1"/>
  <c r="H22" i="2"/>
  <c r="I22" i="2" s="1"/>
  <c r="E21" i="4" s="1"/>
  <c r="H21" i="2"/>
  <c r="I21" i="2" s="1"/>
  <c r="E20" i="4" s="1"/>
  <c r="H20" i="2"/>
  <c r="I20" i="2" s="1"/>
  <c r="E19" i="4" s="1"/>
  <c r="H19" i="2"/>
  <c r="I19" i="2" s="1"/>
  <c r="E18" i="4" s="1"/>
  <c r="H18" i="2"/>
  <c r="I18" i="2" s="1"/>
  <c r="E17" i="4" s="1"/>
  <c r="H17" i="2"/>
  <c r="I17" i="2" s="1"/>
  <c r="E16" i="4" s="1"/>
  <c r="H16" i="2"/>
  <c r="I16" i="2" s="1"/>
  <c r="E15" i="4" s="1"/>
  <c r="H15" i="2"/>
  <c r="I15" i="2" s="1"/>
  <c r="E14" i="4" s="1"/>
  <c r="H14" i="2"/>
  <c r="I14" i="2" s="1"/>
  <c r="E13" i="4" s="1"/>
  <c r="H10" i="2"/>
  <c r="I10" i="2" s="1"/>
  <c r="E9" i="4" s="1"/>
  <c r="H4" i="2"/>
  <c r="H23" i="2"/>
  <c r="I23" i="2" s="1"/>
  <c r="E22" i="4" s="1"/>
  <c r="H8" i="2"/>
  <c r="I8" i="2" s="1"/>
  <c r="E7" i="4" s="1"/>
  <c r="J18" i="3"/>
  <c r="K18" i="3" s="1"/>
  <c r="D17" i="4" s="1"/>
  <c r="J14" i="3"/>
  <c r="K14" i="3" s="1"/>
  <c r="D13" i="4" s="1"/>
  <c r="H6" i="2"/>
  <c r="I6" i="2" s="1"/>
  <c r="E5" i="4" s="1"/>
  <c r="J26" i="3"/>
  <c r="K26" i="3" s="1"/>
  <c r="D25" i="4" s="1"/>
  <c r="H27" i="2"/>
  <c r="I27" i="2" s="1"/>
  <c r="E26" i="4" s="1"/>
  <c r="J22" i="3"/>
  <c r="K22" i="3" s="1"/>
  <c r="D21" i="4" s="1"/>
  <c r="J12" i="3"/>
  <c r="K12" i="3" s="1"/>
  <c r="D11" i="4" s="1"/>
  <c r="J16" i="3"/>
  <c r="K16" i="3" s="1"/>
  <c r="D15" i="4" s="1"/>
  <c r="J5" i="3"/>
  <c r="K5" i="3" s="1"/>
  <c r="D4" i="4" s="1"/>
  <c r="H24" i="2"/>
  <c r="I24" i="2" s="1"/>
  <c r="E23" i="4" s="1"/>
  <c r="C13" i="1"/>
  <c r="G13" i="1" s="1"/>
  <c r="I13" i="1" s="1"/>
  <c r="I4" i="1" l="1"/>
  <c r="G28" i="1"/>
  <c r="J28" i="3"/>
  <c r="K4" i="3"/>
  <c r="H28" i="2"/>
  <c r="I4" i="2"/>
  <c r="I28" i="1" l="1"/>
  <c r="J4" i="1"/>
  <c r="D3" i="4"/>
  <c r="D27" i="4" s="1"/>
  <c r="K28" i="3"/>
  <c r="E3" i="4"/>
  <c r="E27" i="4" s="1"/>
  <c r="I28" i="2"/>
  <c r="K4" i="1" l="1"/>
  <c r="J12" i="1"/>
  <c r="K12" i="1" s="1"/>
  <c r="C11" i="4" s="1"/>
  <c r="F11" i="4" s="1"/>
  <c r="J25" i="1"/>
  <c r="K25" i="1" s="1"/>
  <c r="C24" i="4" s="1"/>
  <c r="F24" i="4" s="1"/>
  <c r="J6" i="1"/>
  <c r="K6" i="1" s="1"/>
  <c r="C5" i="4" s="1"/>
  <c r="F5" i="4" s="1"/>
  <c r="J26" i="1"/>
  <c r="K26" i="1" s="1"/>
  <c r="C25" i="4" s="1"/>
  <c r="F25" i="4" s="1"/>
  <c r="J16" i="1"/>
  <c r="K16" i="1" s="1"/>
  <c r="C15" i="4" s="1"/>
  <c r="F15" i="4" s="1"/>
  <c r="J24" i="1"/>
  <c r="K24" i="1" s="1"/>
  <c r="C23" i="4" s="1"/>
  <c r="F23" i="4" s="1"/>
  <c r="J21" i="1"/>
  <c r="K21" i="1" s="1"/>
  <c r="C20" i="4" s="1"/>
  <c r="F20" i="4" s="1"/>
  <c r="J17" i="1"/>
  <c r="K17" i="1" s="1"/>
  <c r="C16" i="4" s="1"/>
  <c r="F16" i="4" s="1"/>
  <c r="J13" i="1"/>
  <c r="K13" i="1" s="1"/>
  <c r="C12" i="4" s="1"/>
  <c r="F12" i="4" s="1"/>
  <c r="J11" i="1"/>
  <c r="K11" i="1" s="1"/>
  <c r="C10" i="4" s="1"/>
  <c r="F10" i="4" s="1"/>
  <c r="J9" i="1"/>
  <c r="K9" i="1" s="1"/>
  <c r="C8" i="4" s="1"/>
  <c r="F8" i="4" s="1"/>
  <c r="J18" i="1"/>
  <c r="K18" i="1" s="1"/>
  <c r="C17" i="4" s="1"/>
  <c r="F17" i="4" s="1"/>
  <c r="J22" i="1"/>
  <c r="K22" i="1" s="1"/>
  <c r="C21" i="4" s="1"/>
  <c r="F21" i="4" s="1"/>
  <c r="J5" i="1"/>
  <c r="K5" i="1" s="1"/>
  <c r="C4" i="4" s="1"/>
  <c r="F4" i="4" s="1"/>
  <c r="J10" i="1"/>
  <c r="K10" i="1" s="1"/>
  <c r="C9" i="4" s="1"/>
  <c r="F9" i="4" s="1"/>
  <c r="J7" i="1"/>
  <c r="K7" i="1" s="1"/>
  <c r="C6" i="4" s="1"/>
  <c r="F6" i="4" s="1"/>
  <c r="J14" i="1"/>
  <c r="K14" i="1" s="1"/>
  <c r="C13" i="4" s="1"/>
  <c r="F13" i="4" s="1"/>
  <c r="J15" i="1"/>
  <c r="K15" i="1" s="1"/>
  <c r="C14" i="4" s="1"/>
  <c r="F14" i="4" s="1"/>
  <c r="J23" i="1"/>
  <c r="K23" i="1" s="1"/>
  <c r="C22" i="4" s="1"/>
  <c r="F22" i="4" s="1"/>
  <c r="J27" i="1"/>
  <c r="K27" i="1" s="1"/>
  <c r="C26" i="4" s="1"/>
  <c r="F26" i="4" s="1"/>
  <c r="J19" i="1"/>
  <c r="K19" i="1" s="1"/>
  <c r="C18" i="4" s="1"/>
  <c r="F18" i="4" s="1"/>
  <c r="J8" i="1"/>
  <c r="C7" i="4" s="1"/>
  <c r="J20" i="1"/>
  <c r="K20" i="1" s="1"/>
  <c r="C19" i="4" s="1"/>
  <c r="F19" i="4" s="1"/>
  <c r="C3" i="4" l="1"/>
  <c r="K28" i="1"/>
  <c r="J28" i="1"/>
  <c r="F3" i="4" l="1"/>
  <c r="F27" i="4" s="1"/>
  <c r="C27" i="4"/>
</calcChain>
</file>

<file path=xl/sharedStrings.xml><?xml version="1.0" encoding="utf-8"?>
<sst xmlns="http://schemas.openxmlformats.org/spreadsheetml/2006/main" count="156" uniqueCount="58">
  <si>
    <t>Montante a distribuir</t>
  </si>
  <si>
    <t>Unidade</t>
  </si>
  <si>
    <t>Alunos na extensão</t>
  </si>
  <si>
    <t>Fator discente</t>
  </si>
  <si>
    <t>Docentes na extensão</t>
  </si>
  <si>
    <t>Docentes da unidade</t>
  </si>
  <si>
    <t>Fator docente</t>
  </si>
  <si>
    <t>Fator unidade</t>
  </si>
  <si>
    <t>FEEO</t>
  </si>
  <si>
    <t>FD</t>
  </si>
  <si>
    <t>%</t>
  </si>
  <si>
    <t>Valor a distribuir</t>
  </si>
  <si>
    <t>CECA</t>
  </si>
  <si>
    <t>CEDU</t>
  </si>
  <si>
    <t>CTEC</t>
  </si>
  <si>
    <t>ETA</t>
  </si>
  <si>
    <t>ESENFAR</t>
  </si>
  <si>
    <t>FALE</t>
  </si>
  <si>
    <t>FAMED</t>
  </si>
  <si>
    <t>FANUT</t>
  </si>
  <si>
    <t>FAU</t>
  </si>
  <si>
    <t>FDA</t>
  </si>
  <si>
    <t>FEAC</t>
  </si>
  <si>
    <t>FOUFAL</t>
  </si>
  <si>
    <t>FSSO</t>
  </si>
  <si>
    <t>IC</t>
  </si>
  <si>
    <t>ICAT</t>
  </si>
  <si>
    <t>ICBS</t>
  </si>
  <si>
    <t>ICHCA</t>
  </si>
  <si>
    <t>ICS</t>
  </si>
  <si>
    <t>IEFE</t>
  </si>
  <si>
    <t>IF</t>
  </si>
  <si>
    <t>IGDEMA</t>
  </si>
  <si>
    <t>IM</t>
  </si>
  <si>
    <t>IP</t>
  </si>
  <si>
    <t>IQB</t>
  </si>
  <si>
    <t>Total</t>
  </si>
  <si>
    <t>-</t>
  </si>
  <si>
    <t>FEEO - Fator de Eficiência na Execução Orçamentária</t>
  </si>
  <si>
    <t>FD - Fator de Distribuição</t>
  </si>
  <si>
    <t>Titulados</t>
  </si>
  <si>
    <t>Ingressantes</t>
  </si>
  <si>
    <t>Média dos conceitos</t>
  </si>
  <si>
    <t>EPG</t>
  </si>
  <si>
    <t>EPG - Eficiência da Pós-Graduação</t>
  </si>
  <si>
    <t>Diplomados</t>
  </si>
  <si>
    <t>Tx. Sucesso</t>
  </si>
  <si>
    <t># Cursos</t>
  </si>
  <si>
    <t>Soma CPCs</t>
  </si>
  <si>
    <t>QG</t>
  </si>
  <si>
    <t>QG - Qualidade da Graduação</t>
  </si>
  <si>
    <t>Extensão</t>
  </si>
  <si>
    <t>Graduação</t>
  </si>
  <si>
    <t>Pós-Graduação</t>
  </si>
  <si>
    <t>Total Consumo</t>
  </si>
  <si>
    <t>Dimensão</t>
  </si>
  <si>
    <t>Percentual</t>
  </si>
  <si>
    <t>Valor por dimensão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</si>
</sst>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#,##0.000"/>
    <numFmt numFmtId="166" formatCode="_-&quot;R$ &quot;* #,##0.00_-;&quot;-R$ &quot;* #,##0.00_-;_-&quot;R$ &quot;* \-??_-;_-@_-"/>
  </numFmts>
  <fonts count="8">
    <font>
      <sz val="11"/>
      <color rgb="FF000000"/>
      <name val="Calibri1"/>
      <family val="2"/>
      <charset val="1"/>
    </font>
    <font>
      <b/>
      <sz val="14"/>
      <color rgb="FF000000"/>
      <name val="Calibri1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1"/>
      <family val="2"/>
      <charset val="1"/>
    </font>
    <font>
      <b/>
      <sz val="11"/>
      <color rgb="FF800000"/>
      <name val="Calibri1"/>
      <family val="2"/>
      <charset val="1"/>
    </font>
    <font>
      <b/>
      <sz val="12"/>
      <color rgb="FF000000"/>
      <name val="Calibri1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166" fontId="3" fillId="0" borderId="0" applyBorder="0" applyProtection="0"/>
  </cellStyleXfs>
  <cellXfs count="38">
    <xf numFmtId="0" fontId="0" fillId="0" borderId="0" xfId="0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165" fontId="2" fillId="0" borderId="0" xfId="0" applyNumberFormat="1" applyFont="1"/>
    <xf numFmtId="0" fontId="0" fillId="0" borderId="1" xfId="0" applyBorder="1"/>
    <xf numFmtId="164" fontId="4" fillId="0" borderId="0" xfId="1" applyNumberFormat="1" applyFont="1" applyBorder="1" applyAlignment="1" applyProtection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5" fillId="2" borderId="0" xfId="0" applyFont="1" applyFill="1"/>
    <xf numFmtId="0" fontId="6" fillId="0" borderId="0" xfId="0" applyFont="1"/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5" fillId="4" borderId="2" xfId="0" applyNumberFormat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0" xfId="0" applyFont="1" applyBorder="1"/>
    <xf numFmtId="10" fontId="0" fillId="0" borderId="0" xfId="0" applyNumberFormat="1"/>
    <xf numFmtId="164" fontId="0" fillId="0" borderId="0" xfId="0" applyNumberFormat="1" applyBorder="1"/>
    <xf numFmtId="166" fontId="2" fillId="0" borderId="1" xfId="0" applyNumberFormat="1" applyFont="1" applyBorder="1"/>
    <xf numFmtId="166" fontId="7" fillId="5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zoomScale="120" zoomScaleNormal="120" workbookViewId="0">
      <selection activeCell="C19" sqref="C19"/>
    </sheetView>
  </sheetViews>
  <sheetFormatPr defaultRowHeight="14.25"/>
  <cols>
    <col min="1" max="1" width="9" customWidth="1"/>
    <col min="2" max="2" width="12.25"/>
    <col min="3" max="3" width="9.875"/>
    <col min="4" max="4" width="12.125"/>
    <col min="5" max="5" width="10.75"/>
    <col min="6" max="6" width="9.875"/>
    <col min="7" max="7" width="9.25"/>
    <col min="8" max="8" width="9.375"/>
    <col min="9" max="9" width="9.25"/>
    <col min="10" max="10" width="7.875"/>
    <col min="11" max="11" width="23.75"/>
    <col min="12" max="12" width="12.625"/>
    <col min="13" max="14" width="7.875"/>
    <col min="15" max="15" width="12.5"/>
    <col min="16" max="1025" width="7.875"/>
  </cols>
  <sheetData>
    <row r="1" spans="1:12" ht="18">
      <c r="G1" s="36" t="s">
        <v>0</v>
      </c>
      <c r="H1" s="36"/>
      <c r="I1" s="36"/>
      <c r="J1" s="36"/>
      <c r="K1" s="1">
        <v>96000</v>
      </c>
    </row>
    <row r="3" spans="1:12" ht="3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2">
      <c r="A4" t="s">
        <v>12</v>
      </c>
      <c r="B4">
        <f>20+36+4+10+35+5+11+2+1</f>
        <v>124</v>
      </c>
      <c r="C4" s="4">
        <f t="shared" ref="C4:C27" si="0">B4/$B$28</f>
        <v>5.8298072402444757E-2</v>
      </c>
      <c r="D4">
        <v>37</v>
      </c>
      <c r="E4">
        <v>112</v>
      </c>
      <c r="F4" s="4">
        <f t="shared" ref="F4:F27" si="1">D4/E4</f>
        <v>0.33035714285714285</v>
      </c>
      <c r="G4" s="4">
        <f t="shared" ref="G4:G27" si="2">C4*F4</f>
        <v>1.92591846329505E-2</v>
      </c>
      <c r="H4" s="4">
        <v>0.8</v>
      </c>
      <c r="I4" s="4">
        <f t="shared" ref="I4:I27" si="3">G4*H4</f>
        <v>1.5407347706360401E-2</v>
      </c>
      <c r="J4" s="4">
        <f t="shared" ref="J4:J27" si="4">I4/$I$28</f>
        <v>6.0809841771679883E-2</v>
      </c>
      <c r="K4" s="5">
        <f t="shared" ref="K4:K27" si="5">J4*$K$1</f>
        <v>5837.744810081269</v>
      </c>
      <c r="L4" s="6"/>
    </row>
    <row r="5" spans="1:12">
      <c r="A5" t="s">
        <v>13</v>
      </c>
      <c r="B5">
        <f>83+5</f>
        <v>88</v>
      </c>
      <c r="C5" s="4">
        <f t="shared" si="0"/>
        <v>4.1372825575928536E-2</v>
      </c>
      <c r="D5">
        <v>31</v>
      </c>
      <c r="E5">
        <v>83</v>
      </c>
      <c r="F5" s="4">
        <f t="shared" si="1"/>
        <v>0.37349397590361444</v>
      </c>
      <c r="G5" s="4">
        <f t="shared" si="2"/>
        <v>1.5452501118720296E-2</v>
      </c>
      <c r="H5" s="4">
        <v>0.22</v>
      </c>
      <c r="I5" s="4">
        <f t="shared" si="3"/>
        <v>3.3995502461184653E-3</v>
      </c>
      <c r="J5" s="4">
        <f t="shared" si="4"/>
        <v>1.3417371795665999E-2</v>
      </c>
      <c r="K5" s="5">
        <f t="shared" si="5"/>
        <v>1288.067692383936</v>
      </c>
      <c r="L5" s="6"/>
    </row>
    <row r="6" spans="1:12">
      <c r="A6" t="s">
        <v>14</v>
      </c>
      <c r="B6">
        <f>43+36+23+31+2+1+1</f>
        <v>137</v>
      </c>
      <c r="C6" s="4">
        <f t="shared" si="0"/>
        <v>6.4409967089797834E-2</v>
      </c>
      <c r="D6">
        <v>23</v>
      </c>
      <c r="E6">
        <v>81</v>
      </c>
      <c r="F6" s="4">
        <f t="shared" si="1"/>
        <v>0.2839506172839506</v>
      </c>
      <c r="G6" s="4">
        <f t="shared" si="2"/>
        <v>1.8289249914387039E-2</v>
      </c>
      <c r="H6" s="4">
        <v>0.74</v>
      </c>
      <c r="I6" s="4">
        <f t="shared" si="3"/>
        <v>1.3534044936646408E-2</v>
      </c>
      <c r="J6" s="4">
        <f t="shared" si="4"/>
        <v>5.3416275585740462E-2</v>
      </c>
      <c r="K6" s="5">
        <f t="shared" si="5"/>
        <v>5127.9624562310846</v>
      </c>
      <c r="L6" s="6"/>
    </row>
    <row r="7" spans="1:12">
      <c r="A7" t="s">
        <v>15</v>
      </c>
      <c r="B7">
        <f>6+1+2+2</f>
        <v>11</v>
      </c>
      <c r="C7" s="4">
        <f t="shared" si="0"/>
        <v>5.171603196991067E-3</v>
      </c>
      <c r="D7">
        <v>12</v>
      </c>
      <c r="E7">
        <v>19</v>
      </c>
      <c r="F7" s="4">
        <f t="shared" si="1"/>
        <v>0.63157894736842102</v>
      </c>
      <c r="G7" s="4">
        <f t="shared" si="2"/>
        <v>3.266275703362779E-3</v>
      </c>
      <c r="H7" s="4"/>
      <c r="I7" s="4">
        <f t="shared" si="3"/>
        <v>0</v>
      </c>
      <c r="J7" s="4">
        <f t="shared" si="4"/>
        <v>0</v>
      </c>
      <c r="K7" s="5">
        <f t="shared" si="5"/>
        <v>0</v>
      </c>
      <c r="L7" s="6"/>
    </row>
    <row r="8" spans="1:12">
      <c r="A8" t="s">
        <v>16</v>
      </c>
      <c r="B8">
        <f>129+2+11</f>
        <v>142</v>
      </c>
      <c r="C8" s="4">
        <f t="shared" si="0"/>
        <v>6.6760695815702861E-2</v>
      </c>
      <c r="D8">
        <v>23</v>
      </c>
      <c r="E8">
        <v>58</v>
      </c>
      <c r="F8" s="4">
        <f t="shared" si="1"/>
        <v>0.39655172413793105</v>
      </c>
      <c r="G8" s="4">
        <f t="shared" si="2"/>
        <v>2.6474069030364929E-2</v>
      </c>
      <c r="H8" s="4">
        <v>0.57999999999999996</v>
      </c>
      <c r="I8" s="4">
        <f t="shared" si="3"/>
        <v>1.5354960037611658E-2</v>
      </c>
      <c r="J8" s="4">
        <f t="shared" si="4"/>
        <v>6.0603077706370759E-2</v>
      </c>
      <c r="K8" s="5">
        <f>J8*$K$1</f>
        <v>5817.8954598115924</v>
      </c>
      <c r="L8" s="6"/>
    </row>
    <row r="9" spans="1:12" ht="15">
      <c r="A9" t="s">
        <v>17</v>
      </c>
      <c r="B9" s="7">
        <f>24+10+40+28+35+6</f>
        <v>143</v>
      </c>
      <c r="C9" s="4">
        <f t="shared" si="0"/>
        <v>6.7230841560883881E-2</v>
      </c>
      <c r="D9">
        <v>50</v>
      </c>
      <c r="E9">
        <v>68</v>
      </c>
      <c r="F9" s="4">
        <f t="shared" si="1"/>
        <v>0.73529411764705888</v>
      </c>
      <c r="G9" s="4">
        <f t="shared" si="2"/>
        <v>4.9434442324179324E-2</v>
      </c>
      <c r="H9" s="4">
        <v>0.85</v>
      </c>
      <c r="I9" s="4">
        <f t="shared" si="3"/>
        <v>4.2019275975552425E-2</v>
      </c>
      <c r="J9" s="4">
        <f t="shared" si="4"/>
        <v>0.16584201071668364</v>
      </c>
      <c r="K9" s="5">
        <f t="shared" si="5"/>
        <v>15920.83302880163</v>
      </c>
      <c r="L9" s="6"/>
    </row>
    <row r="10" spans="1:12">
      <c r="A10" t="s">
        <v>18</v>
      </c>
      <c r="B10">
        <f>153</f>
        <v>153</v>
      </c>
      <c r="C10" s="4">
        <f t="shared" si="0"/>
        <v>7.1932299012693934E-2</v>
      </c>
      <c r="D10">
        <v>35</v>
      </c>
      <c r="E10">
        <v>128</v>
      </c>
      <c r="F10" s="4">
        <f t="shared" si="1"/>
        <v>0.2734375</v>
      </c>
      <c r="G10" s="4">
        <f t="shared" si="2"/>
        <v>1.9668988011283497E-2</v>
      </c>
      <c r="H10" s="4">
        <v>0.94</v>
      </c>
      <c r="I10" s="4">
        <f t="shared" si="3"/>
        <v>1.8488848730606487E-2</v>
      </c>
      <c r="J10" s="4">
        <f t="shared" si="4"/>
        <v>7.2971934383266643E-2</v>
      </c>
      <c r="K10" s="5">
        <f t="shared" si="5"/>
        <v>7005.3057007935977</v>
      </c>
      <c r="L10" s="6"/>
    </row>
    <row r="11" spans="1:12">
      <c r="A11" t="s">
        <v>19</v>
      </c>
      <c r="B11">
        <f>102+3</f>
        <v>105</v>
      </c>
      <c r="C11" s="4">
        <f t="shared" si="0"/>
        <v>4.9365303244005641E-2</v>
      </c>
      <c r="D11">
        <v>20</v>
      </c>
      <c r="E11">
        <v>38</v>
      </c>
      <c r="F11" s="4">
        <f t="shared" si="1"/>
        <v>0.52631578947368418</v>
      </c>
      <c r="G11" s="4">
        <f t="shared" si="2"/>
        <v>2.5981738549476652E-2</v>
      </c>
      <c r="H11" s="4">
        <v>0.98</v>
      </c>
      <c r="I11" s="4">
        <f t="shared" si="3"/>
        <v>2.5462103778487118E-2</v>
      </c>
      <c r="J11" s="4">
        <f t="shared" si="4"/>
        <v>0.10049403255206033</v>
      </c>
      <c r="K11" s="5">
        <f t="shared" si="5"/>
        <v>9647.4271249977919</v>
      </c>
      <c r="L11" s="6"/>
    </row>
    <row r="12" spans="1:12">
      <c r="A12" t="s">
        <v>20</v>
      </c>
      <c r="B12">
        <f>41+3</f>
        <v>44</v>
      </c>
      <c r="C12" s="4">
        <f t="shared" si="0"/>
        <v>2.0686412787964268E-2</v>
      </c>
      <c r="D12">
        <v>14</v>
      </c>
      <c r="E12">
        <v>44</v>
      </c>
      <c r="F12" s="4">
        <f t="shared" si="1"/>
        <v>0.31818181818181818</v>
      </c>
      <c r="G12" s="4">
        <f t="shared" si="2"/>
        <v>6.5820404325340849E-3</v>
      </c>
      <c r="H12" s="4">
        <v>0.57999999999999996</v>
      </c>
      <c r="I12" s="4">
        <f t="shared" si="3"/>
        <v>3.8175834508697689E-3</v>
      </c>
      <c r="J12" s="4">
        <f t="shared" si="4"/>
        <v>1.506726855406401E-2</v>
      </c>
      <c r="K12" s="5">
        <f t="shared" si="5"/>
        <v>1446.4577811901449</v>
      </c>
      <c r="L12" s="6"/>
    </row>
    <row r="13" spans="1:12">
      <c r="A13" t="s">
        <v>21</v>
      </c>
      <c r="B13">
        <f>164+2</f>
        <v>166</v>
      </c>
      <c r="C13" s="4">
        <f t="shared" si="0"/>
        <v>7.8044193700047018E-2</v>
      </c>
      <c r="D13">
        <v>10</v>
      </c>
      <c r="E13">
        <v>43</v>
      </c>
      <c r="F13" s="4">
        <f t="shared" si="1"/>
        <v>0.23255813953488372</v>
      </c>
      <c r="G13" s="4">
        <f t="shared" si="2"/>
        <v>1.8149812488383026E-2</v>
      </c>
      <c r="H13" s="4">
        <v>0.43</v>
      </c>
      <c r="I13" s="4">
        <f t="shared" si="3"/>
        <v>7.8044193700047013E-3</v>
      </c>
      <c r="J13" s="4">
        <f t="shared" si="4"/>
        <v>3.0802544088357461E-2</v>
      </c>
      <c r="K13" s="5">
        <f t="shared" si="5"/>
        <v>2957.0442324823161</v>
      </c>
      <c r="L13" s="6"/>
    </row>
    <row r="14" spans="1:12">
      <c r="A14" t="s">
        <v>22</v>
      </c>
      <c r="B14">
        <f>35+20+1+4</f>
        <v>60</v>
      </c>
      <c r="C14" s="4">
        <f t="shared" si="0"/>
        <v>2.8208744710860368E-2</v>
      </c>
      <c r="D14">
        <v>34</v>
      </c>
      <c r="E14">
        <v>69</v>
      </c>
      <c r="F14" s="4">
        <f t="shared" si="1"/>
        <v>0.49275362318840582</v>
      </c>
      <c r="G14" s="4">
        <f t="shared" si="2"/>
        <v>1.3899961161873226E-2</v>
      </c>
      <c r="H14" s="4">
        <v>0.14000000000000001</v>
      </c>
      <c r="I14" s="4">
        <f t="shared" si="3"/>
        <v>1.9459945626622518E-3</v>
      </c>
      <c r="J14" s="4">
        <f t="shared" si="4"/>
        <v>7.6804667292080442E-3</v>
      </c>
      <c r="K14" s="5">
        <f t="shared" si="5"/>
        <v>737.32480600397218</v>
      </c>
      <c r="L14" s="6"/>
    </row>
    <row r="15" spans="1:12">
      <c r="A15" t="s">
        <v>23</v>
      </c>
      <c r="B15">
        <v>86</v>
      </c>
      <c r="C15" s="4">
        <f t="shared" si="0"/>
        <v>4.0432534085566525E-2</v>
      </c>
      <c r="D15">
        <v>23</v>
      </c>
      <c r="E15">
        <v>44</v>
      </c>
      <c r="F15" s="4">
        <f t="shared" si="1"/>
        <v>0.52272727272727271</v>
      </c>
      <c r="G15" s="4">
        <f t="shared" si="2"/>
        <v>2.1135188272000682E-2</v>
      </c>
      <c r="H15" s="4">
        <v>1</v>
      </c>
      <c r="I15" s="4">
        <f t="shared" si="3"/>
        <v>2.1135188272000682E-2</v>
      </c>
      <c r="J15" s="4">
        <f t="shared" si="4"/>
        <v>8.341652821299432E-2</v>
      </c>
      <c r="K15" s="5">
        <f t="shared" si="5"/>
        <v>8007.9867084474545</v>
      </c>
      <c r="L15" s="6"/>
    </row>
    <row r="16" spans="1:12">
      <c r="A16" t="s">
        <v>24</v>
      </c>
      <c r="B16">
        <f>64+2</f>
        <v>66</v>
      </c>
      <c r="C16" s="4">
        <f t="shared" si="0"/>
        <v>3.1029619181946404E-2</v>
      </c>
      <c r="D16">
        <v>11</v>
      </c>
      <c r="E16">
        <v>28</v>
      </c>
      <c r="F16" s="4">
        <f t="shared" si="1"/>
        <v>0.39285714285714285</v>
      </c>
      <c r="G16" s="4">
        <f t="shared" si="2"/>
        <v>1.2190207535764658E-2</v>
      </c>
      <c r="H16" s="4">
        <v>0.12</v>
      </c>
      <c r="I16" s="4">
        <f t="shared" si="3"/>
        <v>1.4628249042917588E-3</v>
      </c>
      <c r="J16" s="4">
        <f t="shared" si="4"/>
        <v>5.7734889005544359E-3</v>
      </c>
      <c r="K16" s="5">
        <f t="shared" si="5"/>
        <v>554.25493445322581</v>
      </c>
      <c r="L16" s="6"/>
    </row>
    <row r="17" spans="1:12">
      <c r="A17" t="s">
        <v>25</v>
      </c>
      <c r="B17">
        <f>11+21+1</f>
        <v>33</v>
      </c>
      <c r="C17" s="4">
        <f t="shared" si="0"/>
        <v>1.5514809590973202E-2</v>
      </c>
      <c r="D17">
        <v>9</v>
      </c>
      <c r="E17">
        <v>39</v>
      </c>
      <c r="F17" s="4">
        <f t="shared" si="1"/>
        <v>0.23076923076923078</v>
      </c>
      <c r="G17" s="4">
        <f t="shared" si="2"/>
        <v>3.5803406748399699E-3</v>
      </c>
      <c r="H17" s="4">
        <v>0.77</v>
      </c>
      <c r="I17" s="4">
        <f t="shared" si="3"/>
        <v>2.756862319626777E-3</v>
      </c>
      <c r="J17" s="4">
        <f t="shared" si="4"/>
        <v>1.0880806004891056E-2</v>
      </c>
      <c r="K17" s="5">
        <f t="shared" si="5"/>
        <v>1044.5573764695414</v>
      </c>
      <c r="L17" s="6"/>
    </row>
    <row r="18" spans="1:12">
      <c r="A18" t="s">
        <v>26</v>
      </c>
      <c r="B18">
        <v>8</v>
      </c>
      <c r="C18" s="4">
        <f t="shared" si="0"/>
        <v>3.7611659614480487E-3</v>
      </c>
      <c r="D18">
        <v>9</v>
      </c>
      <c r="E18">
        <v>17</v>
      </c>
      <c r="F18" s="4">
        <f t="shared" si="1"/>
        <v>0.52941176470588236</v>
      </c>
      <c r="G18" s="4">
        <f t="shared" si="2"/>
        <v>1.9912055090019081E-3</v>
      </c>
      <c r="H18" s="4">
        <v>0.54</v>
      </c>
      <c r="I18" s="4">
        <f t="shared" si="3"/>
        <v>1.0752509748610305E-3</v>
      </c>
      <c r="J18" s="4">
        <f t="shared" si="4"/>
        <v>4.2438090508693767E-3</v>
      </c>
      <c r="K18" s="5">
        <f t="shared" si="5"/>
        <v>407.40566888346018</v>
      </c>
      <c r="L18" s="6"/>
    </row>
    <row r="19" spans="1:12" ht="15">
      <c r="A19" t="s">
        <v>27</v>
      </c>
      <c r="B19" s="7">
        <f>82+2+1</f>
        <v>85</v>
      </c>
      <c r="C19" s="4">
        <f t="shared" si="0"/>
        <v>3.996238834038552E-2</v>
      </c>
      <c r="D19">
        <v>25</v>
      </c>
      <c r="E19">
        <v>86</v>
      </c>
      <c r="F19" s="4">
        <f t="shared" si="1"/>
        <v>0.29069767441860467</v>
      </c>
      <c r="G19" s="4">
        <f t="shared" si="2"/>
        <v>1.1616973354763234E-2</v>
      </c>
      <c r="H19" s="4">
        <v>0.89</v>
      </c>
      <c r="I19" s="4">
        <f t="shared" si="3"/>
        <v>1.0339106285739278E-2</v>
      </c>
      <c r="J19" s="4">
        <f t="shared" si="4"/>
        <v>4.080646645216171E-2</v>
      </c>
      <c r="K19" s="5">
        <f t="shared" si="5"/>
        <v>3917.4207794075242</v>
      </c>
      <c r="L19" s="6"/>
    </row>
    <row r="20" spans="1:12">
      <c r="A20" t="s">
        <v>28</v>
      </c>
      <c r="B20">
        <f>10+9+3+65+1+24+13+23+14+23+5+17+56</f>
        <v>263</v>
      </c>
      <c r="C20" s="4">
        <f t="shared" si="0"/>
        <v>0.12364833098260461</v>
      </c>
      <c r="D20">
        <v>43</v>
      </c>
      <c r="E20">
        <v>119</v>
      </c>
      <c r="F20" s="4">
        <f t="shared" si="1"/>
        <v>0.36134453781512604</v>
      </c>
      <c r="G20" s="4">
        <f t="shared" si="2"/>
        <v>4.4679649010520996E-2</v>
      </c>
      <c r="H20" s="4">
        <v>0.34</v>
      </c>
      <c r="I20" s="4">
        <f t="shared" si="3"/>
        <v>1.519108066357714E-2</v>
      </c>
      <c r="J20" s="4">
        <f t="shared" si="4"/>
        <v>5.9956277296942272E-2</v>
      </c>
      <c r="K20" s="5">
        <f t="shared" si="5"/>
        <v>5755.802620506458</v>
      </c>
      <c r="L20" s="6"/>
    </row>
    <row r="21" spans="1:12">
      <c r="A21" t="s">
        <v>29</v>
      </c>
      <c r="B21">
        <f>32+2</f>
        <v>34</v>
      </c>
      <c r="C21" s="4">
        <f t="shared" si="0"/>
        <v>1.5984955336154207E-2</v>
      </c>
      <c r="D21">
        <v>13</v>
      </c>
      <c r="E21">
        <v>29</v>
      </c>
      <c r="F21" s="4">
        <f t="shared" si="1"/>
        <v>0.44827586206896552</v>
      </c>
      <c r="G21" s="4">
        <f t="shared" si="2"/>
        <v>7.1656696334484382E-3</v>
      </c>
      <c r="H21" s="4">
        <v>0.94</v>
      </c>
      <c r="I21" s="4">
        <f t="shared" si="3"/>
        <v>6.7357294554415319E-3</v>
      </c>
      <c r="J21" s="4">
        <f t="shared" si="4"/>
        <v>2.6584630282157788E-2</v>
      </c>
      <c r="K21" s="5">
        <f t="shared" si="5"/>
        <v>2552.1245070871478</v>
      </c>
      <c r="L21" s="6"/>
    </row>
    <row r="22" spans="1:12">
      <c r="A22" t="s">
        <v>30</v>
      </c>
      <c r="B22">
        <v>161</v>
      </c>
      <c r="C22" s="4">
        <f t="shared" si="0"/>
        <v>7.5693464974141977E-2</v>
      </c>
      <c r="D22">
        <v>16</v>
      </c>
      <c r="E22">
        <v>21</v>
      </c>
      <c r="F22" s="4">
        <f t="shared" si="1"/>
        <v>0.76190476190476186</v>
      </c>
      <c r="G22" s="4">
        <f t="shared" si="2"/>
        <v>5.7671211408870077E-2</v>
      </c>
      <c r="H22" s="4">
        <v>0.52</v>
      </c>
      <c r="I22" s="4">
        <f t="shared" si="3"/>
        <v>2.9989029932612443E-2</v>
      </c>
      <c r="J22" s="4">
        <f t="shared" si="4"/>
        <v>0.11836094049694948</v>
      </c>
      <c r="K22" s="5">
        <f t="shared" si="5"/>
        <v>11362.650287707151</v>
      </c>
      <c r="L22" s="6"/>
    </row>
    <row r="23" spans="1:12">
      <c r="A23" t="s">
        <v>31</v>
      </c>
      <c r="B23">
        <f>3+1</f>
        <v>4</v>
      </c>
      <c r="C23" s="4">
        <f t="shared" si="0"/>
        <v>1.8805829807240243E-3</v>
      </c>
      <c r="D23">
        <v>2</v>
      </c>
      <c r="E23">
        <v>36</v>
      </c>
      <c r="F23" s="4">
        <f t="shared" si="1"/>
        <v>5.5555555555555552E-2</v>
      </c>
      <c r="G23" s="4">
        <f t="shared" si="2"/>
        <v>1.0447683226244579E-4</v>
      </c>
      <c r="H23" s="4">
        <v>0.79</v>
      </c>
      <c r="I23" s="4">
        <f t="shared" si="3"/>
        <v>8.2536697487332184E-5</v>
      </c>
      <c r="J23" s="4">
        <f t="shared" si="4"/>
        <v>3.2575649035880046E-4</v>
      </c>
      <c r="K23" s="5">
        <f t="shared" si="5"/>
        <v>31.272623074444844</v>
      </c>
      <c r="L23" s="6"/>
    </row>
    <row r="24" spans="1:12">
      <c r="A24" t="s">
        <v>32</v>
      </c>
      <c r="B24">
        <f>39+1</f>
        <v>40</v>
      </c>
      <c r="C24" s="4">
        <f t="shared" si="0"/>
        <v>1.8805829807240243E-2</v>
      </c>
      <c r="D24">
        <v>12</v>
      </c>
      <c r="E24">
        <v>30</v>
      </c>
      <c r="F24" s="4">
        <f t="shared" si="1"/>
        <v>0.4</v>
      </c>
      <c r="G24" s="4">
        <f t="shared" si="2"/>
        <v>7.5223319228960974E-3</v>
      </c>
      <c r="H24" s="4">
        <v>0.55000000000000004</v>
      </c>
      <c r="I24" s="4">
        <f t="shared" si="3"/>
        <v>4.1372825575928538E-3</v>
      </c>
      <c r="J24" s="4">
        <f t="shared" si="4"/>
        <v>1.6329059516719618E-2</v>
      </c>
      <c r="K24" s="5">
        <f t="shared" si="5"/>
        <v>1567.5897136050833</v>
      </c>
      <c r="L24" s="6"/>
    </row>
    <row r="25" spans="1:12" ht="15">
      <c r="A25" t="s">
        <v>33</v>
      </c>
      <c r="B25" s="7">
        <f>44+1</f>
        <v>45</v>
      </c>
      <c r="C25" s="4">
        <f t="shared" si="0"/>
        <v>2.1156558533145273E-2</v>
      </c>
      <c r="D25">
        <v>16</v>
      </c>
      <c r="E25">
        <v>38</v>
      </c>
      <c r="F25" s="4">
        <f t="shared" si="1"/>
        <v>0.42105263157894735</v>
      </c>
      <c r="G25" s="4">
        <f t="shared" si="2"/>
        <v>8.9080246455348518E-3</v>
      </c>
      <c r="H25" s="4">
        <v>0.79</v>
      </c>
      <c r="I25" s="4">
        <f t="shared" si="3"/>
        <v>7.0373394699725332E-3</v>
      </c>
      <c r="J25" s="4">
        <f t="shared" si="4"/>
        <v>2.7775027072697724E-2</v>
      </c>
      <c r="K25" s="5">
        <f t="shared" si="5"/>
        <v>2666.4025989789816</v>
      </c>
      <c r="L25" s="6"/>
    </row>
    <row r="26" spans="1:12">
      <c r="A26" t="s">
        <v>34</v>
      </c>
      <c r="B26">
        <f>123+4</f>
        <v>127</v>
      </c>
      <c r="C26" s="4">
        <f t="shared" si="0"/>
        <v>5.9708509637987774E-2</v>
      </c>
      <c r="D26">
        <v>11</v>
      </c>
      <c r="E26">
        <v>26</v>
      </c>
      <c r="F26" s="4">
        <f t="shared" si="1"/>
        <v>0.42307692307692307</v>
      </c>
      <c r="G26" s="4">
        <f t="shared" si="2"/>
        <v>2.5261292539148675E-2</v>
      </c>
      <c r="H26" s="4">
        <v>0.24</v>
      </c>
      <c r="I26" s="4">
        <f t="shared" si="3"/>
        <v>6.062710209395682E-3</v>
      </c>
      <c r="J26" s="4">
        <f t="shared" si="4"/>
        <v>2.3928352599500671E-2</v>
      </c>
      <c r="K26" s="5">
        <f t="shared" si="5"/>
        <v>2297.1218495520643</v>
      </c>
      <c r="L26" s="6"/>
    </row>
    <row r="27" spans="1:12" ht="15">
      <c r="A27" t="s">
        <v>35</v>
      </c>
      <c r="B27" s="8">
        <f>2</f>
        <v>2</v>
      </c>
      <c r="C27" s="4">
        <f t="shared" si="0"/>
        <v>9.4029149036201217E-4</v>
      </c>
      <c r="D27">
        <v>7</v>
      </c>
      <c r="E27">
        <v>47</v>
      </c>
      <c r="F27" s="4">
        <f t="shared" si="1"/>
        <v>0.14893617021276595</v>
      </c>
      <c r="G27" s="4">
        <f t="shared" si="2"/>
        <v>1.4004341345817201E-4</v>
      </c>
      <c r="H27" s="4">
        <v>0.93</v>
      </c>
      <c r="I27" s="4">
        <f t="shared" si="3"/>
        <v>1.3024037451609999E-4</v>
      </c>
      <c r="J27" s="4">
        <f t="shared" si="4"/>
        <v>5.1403374010563206E-4</v>
      </c>
      <c r="K27" s="5">
        <f t="shared" si="5"/>
        <v>49.347239050140679</v>
      </c>
      <c r="L27" s="6"/>
    </row>
    <row r="28" spans="1:12" ht="15">
      <c r="A28" s="9" t="s">
        <v>36</v>
      </c>
      <c r="B28" s="9">
        <f>SUM(B4:B27)</f>
        <v>2127</v>
      </c>
      <c r="C28" s="10" t="s">
        <v>37</v>
      </c>
      <c r="D28" s="9">
        <f>SUM(D4:D27)</f>
        <v>486</v>
      </c>
      <c r="E28" s="9">
        <f>SUM(E4:E27)</f>
        <v>1303</v>
      </c>
      <c r="F28" s="10" t="s">
        <v>37</v>
      </c>
      <c r="G28" s="9">
        <f>SUM(G4:G27)</f>
        <v>0.4184248781200256</v>
      </c>
      <c r="H28" s="9"/>
      <c r="I28" s="9">
        <f>SUM(I4:I27)</f>
        <v>0.2533693109120348</v>
      </c>
      <c r="J28" s="11">
        <f>SUM(J4:J27)</f>
        <v>1.0000000000000002</v>
      </c>
      <c r="K28" s="12">
        <f>SUM(K4:K27)</f>
        <v>95999.999999999985</v>
      </c>
    </row>
    <row r="29" spans="1:12" ht="15">
      <c r="A29" s="7" t="s">
        <v>38</v>
      </c>
    </row>
    <row r="30" spans="1:12" ht="15">
      <c r="A30" s="7" t="s">
        <v>39</v>
      </c>
    </row>
  </sheetData>
  <mergeCells count="1">
    <mergeCell ref="G1:J1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30" zoomScaleNormal="130" workbookViewId="0">
      <selection activeCell="D19" sqref="D19"/>
    </sheetView>
  </sheetViews>
  <sheetFormatPr defaultRowHeight="14.25"/>
  <cols>
    <col min="1" max="1" width="11.875"/>
    <col min="2" max="2" width="9.25"/>
    <col min="3" max="3" width="12.375"/>
    <col min="4" max="4" width="19.5"/>
    <col min="5" max="6" width="7.875"/>
    <col min="7" max="7" width="9.375"/>
    <col min="8" max="8" width="7.875"/>
    <col min="9" max="9" width="19.875"/>
    <col min="10" max="1025" width="7.875"/>
  </cols>
  <sheetData>
    <row r="1" spans="1:9" ht="18">
      <c r="E1" s="36" t="s">
        <v>0</v>
      </c>
      <c r="F1" s="36"/>
      <c r="G1" s="36"/>
      <c r="H1" s="36"/>
      <c r="I1" s="13">
        <v>96000</v>
      </c>
    </row>
    <row r="3" spans="1:9" ht="15">
      <c r="A3" s="10" t="s">
        <v>1</v>
      </c>
      <c r="B3" s="10" t="s">
        <v>40</v>
      </c>
      <c r="C3" s="10" t="s">
        <v>41</v>
      </c>
      <c r="D3" s="10" t="s">
        <v>42</v>
      </c>
      <c r="E3" s="10" t="s">
        <v>43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>
      <c r="A4" t="s">
        <v>12</v>
      </c>
      <c r="B4">
        <v>24</v>
      </c>
      <c r="C4">
        <v>82</v>
      </c>
      <c r="D4" s="4">
        <v>3.4285714285714302</v>
      </c>
      <c r="E4" s="4">
        <f>(B4/C4)*D4</f>
        <v>1.0034843205574917</v>
      </c>
      <c r="F4" s="4">
        <v>0.8</v>
      </c>
      <c r="G4" s="4">
        <f t="shared" ref="G4:G27" si="0">E4*F4</f>
        <v>0.80278745644599336</v>
      </c>
      <c r="H4" s="4">
        <f t="shared" ref="H4:H27" si="1">G4/$G$28</f>
        <v>4.0771469219405554E-2</v>
      </c>
      <c r="I4" s="5">
        <f t="shared" ref="I4:I27" si="2">H4*$I$1</f>
        <v>3914.0610450629333</v>
      </c>
    </row>
    <row r="5" spans="1:9">
      <c r="A5" t="s">
        <v>13</v>
      </c>
      <c r="B5">
        <v>8</v>
      </c>
      <c r="C5">
        <v>53</v>
      </c>
      <c r="D5" s="4">
        <v>3</v>
      </c>
      <c r="E5" s="4">
        <f>(B5/C5)*D5</f>
        <v>0.45283018867924529</v>
      </c>
      <c r="F5" s="4">
        <v>0.22</v>
      </c>
      <c r="G5" s="4">
        <f t="shared" si="0"/>
        <v>9.9622641509433965E-2</v>
      </c>
      <c r="H5" s="4">
        <f t="shared" si="1"/>
        <v>5.0595726543106638E-3</v>
      </c>
      <c r="I5" s="5">
        <f t="shared" si="2"/>
        <v>485.71897481382371</v>
      </c>
    </row>
    <row r="6" spans="1:9" ht="15">
      <c r="A6" t="s">
        <v>14</v>
      </c>
      <c r="B6" s="7">
        <v>23</v>
      </c>
      <c r="C6">
        <v>77</v>
      </c>
      <c r="D6" s="4">
        <v>3.8333333333333299</v>
      </c>
      <c r="E6" s="4">
        <f>(B6/C6)*D6</f>
        <v>1.1450216450216439</v>
      </c>
      <c r="F6" s="4">
        <v>0.74</v>
      </c>
      <c r="G6" s="4">
        <f t="shared" si="0"/>
        <v>0.84731601731601647</v>
      </c>
      <c r="H6" s="4">
        <f t="shared" si="1"/>
        <v>4.3032958028577935E-2</v>
      </c>
      <c r="I6" s="5">
        <f t="shared" si="2"/>
        <v>4131.1639707434815</v>
      </c>
    </row>
    <row r="7" spans="1:9" ht="15">
      <c r="A7" t="s">
        <v>15</v>
      </c>
      <c r="D7" s="4"/>
      <c r="E7" s="14">
        <v>0</v>
      </c>
      <c r="F7" s="4"/>
      <c r="G7" s="4">
        <f t="shared" si="0"/>
        <v>0</v>
      </c>
      <c r="H7" s="4">
        <f t="shared" si="1"/>
        <v>0</v>
      </c>
      <c r="I7" s="5">
        <f t="shared" si="2"/>
        <v>0</v>
      </c>
    </row>
    <row r="8" spans="1:9">
      <c r="A8" t="s">
        <v>16</v>
      </c>
      <c r="B8">
        <v>20</v>
      </c>
      <c r="C8">
        <v>25</v>
      </c>
      <c r="D8" s="4">
        <v>3.5</v>
      </c>
      <c r="E8" s="4">
        <f>(B8/C8)*D8</f>
        <v>2.8000000000000003</v>
      </c>
      <c r="F8" s="4">
        <v>0.57999999999999996</v>
      </c>
      <c r="G8" s="4">
        <f t="shared" si="0"/>
        <v>1.6240000000000001</v>
      </c>
      <c r="H8" s="4">
        <f t="shared" si="1"/>
        <v>8.2478700284437018E-2</v>
      </c>
      <c r="I8" s="5">
        <f t="shared" si="2"/>
        <v>7917.9552273059535</v>
      </c>
    </row>
    <row r="9" spans="1:9">
      <c r="A9" t="s">
        <v>17</v>
      </c>
      <c r="B9">
        <v>18</v>
      </c>
      <c r="C9">
        <v>32</v>
      </c>
      <c r="D9" s="4">
        <v>3</v>
      </c>
      <c r="E9" s="4">
        <f>(B9/C9)*D9</f>
        <v>1.6875</v>
      </c>
      <c r="F9" s="4">
        <v>0.85</v>
      </c>
      <c r="G9" s="4">
        <f t="shared" si="0"/>
        <v>1.434375</v>
      </c>
      <c r="H9" s="4">
        <f t="shared" si="1"/>
        <v>7.2848143916557473E-2</v>
      </c>
      <c r="I9" s="5">
        <f t="shared" si="2"/>
        <v>6993.4218159895172</v>
      </c>
    </row>
    <row r="10" spans="1:9">
      <c r="A10" t="s">
        <v>18</v>
      </c>
      <c r="B10">
        <v>20</v>
      </c>
      <c r="C10">
        <v>20</v>
      </c>
      <c r="D10" s="4">
        <v>3</v>
      </c>
      <c r="E10" s="4">
        <f>(B10/C10)*D10</f>
        <v>3</v>
      </c>
      <c r="F10" s="4">
        <v>0.94</v>
      </c>
      <c r="G10" s="4">
        <f t="shared" si="0"/>
        <v>2.82</v>
      </c>
      <c r="H10" s="4">
        <f t="shared" si="1"/>
        <v>0.14322040320327117</v>
      </c>
      <c r="I10" s="5">
        <f t="shared" si="2"/>
        <v>13749.158707514032</v>
      </c>
    </row>
    <row r="11" spans="1:9">
      <c r="A11" t="s">
        <v>19</v>
      </c>
      <c r="B11">
        <v>19</v>
      </c>
      <c r="C11">
        <v>24</v>
      </c>
      <c r="D11" s="4">
        <v>3</v>
      </c>
      <c r="E11" s="4">
        <f>(B11/C11)*D11</f>
        <v>2.375</v>
      </c>
      <c r="F11" s="4">
        <v>0.98</v>
      </c>
      <c r="G11" s="4">
        <f t="shared" si="0"/>
        <v>2.3275000000000001</v>
      </c>
      <c r="H11" s="4">
        <f t="shared" si="1"/>
        <v>0.11820762001972117</v>
      </c>
      <c r="I11" s="5">
        <f t="shared" si="2"/>
        <v>11347.931521893232</v>
      </c>
    </row>
    <row r="12" spans="1:9" ht="15">
      <c r="A12" t="s">
        <v>20</v>
      </c>
      <c r="B12">
        <v>0</v>
      </c>
      <c r="C12">
        <v>16</v>
      </c>
      <c r="D12" s="4">
        <v>3</v>
      </c>
      <c r="E12" s="14">
        <f>(B12/C12)*D12</f>
        <v>0</v>
      </c>
      <c r="F12" s="4">
        <v>0.57999999999999996</v>
      </c>
      <c r="G12" s="4">
        <f t="shared" si="0"/>
        <v>0</v>
      </c>
      <c r="H12" s="4">
        <f t="shared" si="1"/>
        <v>0</v>
      </c>
      <c r="I12" s="5">
        <f t="shared" si="2"/>
        <v>0</v>
      </c>
    </row>
    <row r="13" spans="1:9" ht="15">
      <c r="A13" t="s">
        <v>21</v>
      </c>
      <c r="B13">
        <v>0</v>
      </c>
      <c r="C13">
        <v>0</v>
      </c>
      <c r="D13" s="4">
        <v>3</v>
      </c>
      <c r="E13" s="14">
        <v>0</v>
      </c>
      <c r="F13" s="4">
        <v>0.43</v>
      </c>
      <c r="G13" s="4">
        <f t="shared" si="0"/>
        <v>0</v>
      </c>
      <c r="H13" s="4">
        <f t="shared" si="1"/>
        <v>0</v>
      </c>
      <c r="I13" s="5">
        <f t="shared" si="2"/>
        <v>0</v>
      </c>
    </row>
    <row r="14" spans="1:9">
      <c r="A14" t="s">
        <v>22</v>
      </c>
      <c r="B14">
        <v>10</v>
      </c>
      <c r="C14">
        <v>8</v>
      </c>
      <c r="D14" s="4">
        <v>3</v>
      </c>
      <c r="E14" s="4">
        <f>(B14/C14)*D14</f>
        <v>3.75</v>
      </c>
      <c r="F14" s="4">
        <v>0.14000000000000001</v>
      </c>
      <c r="G14" s="4">
        <f t="shared" si="0"/>
        <v>0.52500000000000002</v>
      </c>
      <c r="H14" s="4">
        <f t="shared" si="1"/>
        <v>2.6663372936779207E-2</v>
      </c>
      <c r="I14" s="5">
        <f t="shared" si="2"/>
        <v>2559.6838019308038</v>
      </c>
    </row>
    <row r="15" spans="1:9" ht="15">
      <c r="A15" t="s">
        <v>23</v>
      </c>
      <c r="D15" s="4"/>
      <c r="E15" s="14">
        <v>0</v>
      </c>
      <c r="F15" s="4">
        <v>1</v>
      </c>
      <c r="G15" s="4">
        <f t="shared" si="0"/>
        <v>0</v>
      </c>
      <c r="H15" s="4">
        <f t="shared" si="1"/>
        <v>0</v>
      </c>
      <c r="I15" s="5">
        <f t="shared" si="2"/>
        <v>0</v>
      </c>
    </row>
    <row r="16" spans="1:9">
      <c r="A16" t="s">
        <v>24</v>
      </c>
      <c r="B16">
        <v>5</v>
      </c>
      <c r="C16">
        <v>19</v>
      </c>
      <c r="D16" s="4">
        <v>4</v>
      </c>
      <c r="E16" s="4">
        <f t="shared" ref="E16:E21" si="3">(B16/C16)*D16</f>
        <v>1.0526315789473684</v>
      </c>
      <c r="F16" s="4">
        <v>0.12</v>
      </c>
      <c r="G16" s="4">
        <f t="shared" si="0"/>
        <v>0.12631578947368419</v>
      </c>
      <c r="H16" s="4">
        <f t="shared" si="1"/>
        <v>6.4152476238867259E-3</v>
      </c>
      <c r="I16" s="5">
        <f t="shared" si="2"/>
        <v>615.86377189312566</v>
      </c>
    </row>
    <row r="17" spans="1:9">
      <c r="A17" t="s">
        <v>25</v>
      </c>
      <c r="B17">
        <v>2</v>
      </c>
      <c r="C17">
        <v>41</v>
      </c>
      <c r="D17" s="4">
        <v>3</v>
      </c>
      <c r="E17" s="4">
        <f t="shared" si="3"/>
        <v>0.14634146341463417</v>
      </c>
      <c r="F17" s="4">
        <v>0.77</v>
      </c>
      <c r="G17" s="4">
        <f t="shared" si="0"/>
        <v>0.11268292682926831</v>
      </c>
      <c r="H17" s="4">
        <f t="shared" si="1"/>
        <v>5.7228702888696848E-3</v>
      </c>
      <c r="I17" s="5">
        <f t="shared" si="2"/>
        <v>549.39554773148973</v>
      </c>
    </row>
    <row r="18" spans="1:9">
      <c r="A18" t="s">
        <v>26</v>
      </c>
      <c r="B18">
        <v>6</v>
      </c>
      <c r="C18">
        <v>9</v>
      </c>
      <c r="D18" s="4">
        <v>3</v>
      </c>
      <c r="E18" s="4">
        <f t="shared" si="3"/>
        <v>2</v>
      </c>
      <c r="F18" s="4">
        <v>0.54</v>
      </c>
      <c r="G18" s="4">
        <f t="shared" si="0"/>
        <v>1.08</v>
      </c>
      <c r="H18" s="4">
        <f t="shared" si="1"/>
        <v>5.4850367184231516E-2</v>
      </c>
      <c r="I18" s="5">
        <f t="shared" si="2"/>
        <v>5265.6352496862255</v>
      </c>
    </row>
    <row r="19" spans="1:9">
      <c r="A19" t="s">
        <v>27</v>
      </c>
      <c r="B19">
        <v>8</v>
      </c>
      <c r="C19">
        <v>39</v>
      </c>
      <c r="D19" s="4">
        <v>4</v>
      </c>
      <c r="E19" s="4">
        <f t="shared" si="3"/>
        <v>0.82051282051282048</v>
      </c>
      <c r="F19" s="4">
        <v>0.89</v>
      </c>
      <c r="G19" s="4">
        <f t="shared" si="0"/>
        <v>0.73025641025641019</v>
      </c>
      <c r="H19" s="4">
        <f t="shared" si="1"/>
        <v>3.708780763074343E-2</v>
      </c>
      <c r="I19" s="5">
        <f t="shared" si="2"/>
        <v>3560.4295325513694</v>
      </c>
    </row>
    <row r="20" spans="1:9">
      <c r="A20" t="s">
        <v>28</v>
      </c>
      <c r="B20">
        <v>26</v>
      </c>
      <c r="C20">
        <v>48</v>
      </c>
      <c r="D20" s="4">
        <v>3</v>
      </c>
      <c r="E20" s="4">
        <f t="shared" si="3"/>
        <v>1.625</v>
      </c>
      <c r="F20" s="4">
        <v>0.34</v>
      </c>
      <c r="G20" s="4">
        <f t="shared" si="0"/>
        <v>0.55249999999999999</v>
      </c>
      <c r="H20" s="4">
        <f t="shared" si="1"/>
        <v>2.8060025804896215E-2</v>
      </c>
      <c r="I20" s="5">
        <f t="shared" si="2"/>
        <v>2693.7624772700365</v>
      </c>
    </row>
    <row r="21" spans="1:9" ht="15">
      <c r="A21" t="s">
        <v>29</v>
      </c>
      <c r="B21">
        <v>0</v>
      </c>
      <c r="C21">
        <v>19</v>
      </c>
      <c r="D21" s="4">
        <v>3.5</v>
      </c>
      <c r="E21" s="14">
        <f t="shared" si="3"/>
        <v>0</v>
      </c>
      <c r="F21" s="4">
        <v>0.94</v>
      </c>
      <c r="G21" s="4">
        <f t="shared" si="0"/>
        <v>0</v>
      </c>
      <c r="H21" s="4">
        <f t="shared" si="1"/>
        <v>0</v>
      </c>
      <c r="I21" s="5">
        <f t="shared" si="2"/>
        <v>0</v>
      </c>
    </row>
    <row r="22" spans="1:9" ht="15">
      <c r="A22" t="s">
        <v>30</v>
      </c>
      <c r="D22" s="4"/>
      <c r="E22" s="14">
        <v>0</v>
      </c>
      <c r="F22" s="4">
        <v>0.52</v>
      </c>
      <c r="G22" s="4">
        <f t="shared" si="0"/>
        <v>0</v>
      </c>
      <c r="H22" s="4">
        <f t="shared" si="1"/>
        <v>0</v>
      </c>
      <c r="I22" s="5">
        <f t="shared" si="2"/>
        <v>0</v>
      </c>
    </row>
    <row r="23" spans="1:9">
      <c r="A23" t="s">
        <v>31</v>
      </c>
      <c r="B23">
        <v>8</v>
      </c>
      <c r="C23">
        <v>33</v>
      </c>
      <c r="D23" s="4">
        <v>5</v>
      </c>
      <c r="E23" s="4">
        <f>(B23/C23)*D23</f>
        <v>1.2121212121212122</v>
      </c>
      <c r="F23" s="4">
        <v>0.79</v>
      </c>
      <c r="G23" s="4">
        <f t="shared" si="0"/>
        <v>0.95757575757575764</v>
      </c>
      <c r="H23" s="4">
        <f t="shared" si="1"/>
        <v>4.8632761027545338E-2</v>
      </c>
      <c r="I23" s="5">
        <f t="shared" si="2"/>
        <v>4668.745058644352</v>
      </c>
    </row>
    <row r="24" spans="1:9" ht="15">
      <c r="A24" t="s">
        <v>32</v>
      </c>
      <c r="B24">
        <v>0</v>
      </c>
      <c r="C24">
        <v>11</v>
      </c>
      <c r="D24" s="4">
        <v>3</v>
      </c>
      <c r="E24" s="14">
        <f>(B24/C24)*D24</f>
        <v>0</v>
      </c>
      <c r="F24" s="4">
        <v>0.55000000000000004</v>
      </c>
      <c r="G24" s="4">
        <f t="shared" si="0"/>
        <v>0</v>
      </c>
      <c r="H24" s="4">
        <f t="shared" si="1"/>
        <v>0</v>
      </c>
      <c r="I24" s="5">
        <f t="shared" si="2"/>
        <v>0</v>
      </c>
    </row>
    <row r="25" spans="1:9">
      <c r="A25" t="s">
        <v>33</v>
      </c>
      <c r="B25">
        <v>2</v>
      </c>
      <c r="C25">
        <v>2</v>
      </c>
      <c r="D25" s="4">
        <v>3</v>
      </c>
      <c r="E25" s="4">
        <f>(B25/C25)*D25</f>
        <v>3</v>
      </c>
      <c r="F25" s="4">
        <v>0.79</v>
      </c>
      <c r="G25" s="4">
        <f t="shared" si="0"/>
        <v>2.37</v>
      </c>
      <c r="H25" s="4">
        <f t="shared" si="1"/>
        <v>0.12036608354317471</v>
      </c>
      <c r="I25" s="5">
        <f t="shared" si="2"/>
        <v>11555.144020144773</v>
      </c>
    </row>
    <row r="26" spans="1:9">
      <c r="A26" t="s">
        <v>34</v>
      </c>
      <c r="B26">
        <v>4</v>
      </c>
      <c r="C26">
        <v>16</v>
      </c>
      <c r="D26" s="4">
        <v>3</v>
      </c>
      <c r="E26" s="4">
        <f>(B26/C26)*D26</f>
        <v>0.75</v>
      </c>
      <c r="F26" s="4">
        <v>0.24</v>
      </c>
      <c r="G26" s="4">
        <f t="shared" si="0"/>
        <v>0.18</v>
      </c>
      <c r="H26" s="4">
        <f t="shared" si="1"/>
        <v>9.141727864038586E-3</v>
      </c>
      <c r="I26" s="5">
        <f t="shared" si="2"/>
        <v>877.60587494770425</v>
      </c>
    </row>
    <row r="27" spans="1:9">
      <c r="A27" t="s">
        <v>35</v>
      </c>
      <c r="B27">
        <v>20</v>
      </c>
      <c r="C27">
        <v>24</v>
      </c>
      <c r="D27" s="4">
        <v>4</v>
      </c>
      <c r="E27" s="4">
        <f>(B27/C27)*D27</f>
        <v>3.3333333333333335</v>
      </c>
      <c r="F27" s="4">
        <v>0.93</v>
      </c>
      <c r="G27" s="4">
        <f t="shared" si="0"/>
        <v>3.1</v>
      </c>
      <c r="H27" s="4">
        <f t="shared" si="1"/>
        <v>0.15744086876955343</v>
      </c>
      <c r="I27" s="5">
        <f t="shared" si="2"/>
        <v>15114.323401877129</v>
      </c>
    </row>
    <row r="28" spans="1:9" ht="15">
      <c r="A28" s="9" t="s">
        <v>36</v>
      </c>
      <c r="B28" s="15"/>
      <c r="C28" s="15"/>
      <c r="D28" s="15"/>
      <c r="E28" s="11">
        <f>SUM(E4:E27)</f>
        <v>30.153776562587748</v>
      </c>
      <c r="F28" s="15"/>
      <c r="G28" s="11">
        <f>SUM(G4:G27)</f>
        <v>19.689931999406568</v>
      </c>
      <c r="H28" s="11">
        <f>SUM(H4:H27)</f>
        <v>0.99999999999999967</v>
      </c>
      <c r="I28" s="12">
        <f>SUM(I4:I27)</f>
        <v>95999.999999999985</v>
      </c>
    </row>
    <row r="29" spans="1:9" ht="15">
      <c r="A29" s="7" t="s">
        <v>44</v>
      </c>
    </row>
    <row r="30" spans="1:9" ht="15">
      <c r="A30" s="7" t="s">
        <v>38</v>
      </c>
    </row>
    <row r="31" spans="1:9" ht="15">
      <c r="A31" s="7" t="s">
        <v>39</v>
      </c>
    </row>
  </sheetData>
  <mergeCells count="1">
    <mergeCell ref="E1:H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0" zoomScale="120" zoomScaleNormal="120" workbookViewId="0">
      <selection activeCell="D27" sqref="D27"/>
    </sheetView>
  </sheetViews>
  <sheetFormatPr defaultRowHeight="14.25"/>
  <cols>
    <col min="1" max="1" width="10.875"/>
    <col min="2" max="2" width="13.25"/>
    <col min="3" max="3" width="13.75"/>
    <col min="4" max="4" width="12"/>
    <col min="5" max="5" width="7.875"/>
    <col min="6" max="6" width="10.5"/>
    <col min="7" max="7" width="11.5"/>
    <col min="8" max="8" width="10.5"/>
    <col min="9" max="9" width="10.875"/>
    <col min="10" max="10" width="10"/>
    <col min="11" max="11" width="19.25"/>
    <col min="12" max="1025" width="7.875"/>
  </cols>
  <sheetData>
    <row r="1" spans="1:15" ht="21">
      <c r="H1" s="36" t="s">
        <v>0</v>
      </c>
      <c r="I1" s="36"/>
      <c r="J1" s="36"/>
      <c r="K1" s="16">
        <v>128000</v>
      </c>
    </row>
    <row r="3" spans="1:15" ht="15">
      <c r="A3" s="10" t="s">
        <v>1</v>
      </c>
      <c r="B3" s="10" t="s">
        <v>45</v>
      </c>
      <c r="C3" s="10" t="s">
        <v>41</v>
      </c>
      <c r="D3" s="10" t="s">
        <v>46</v>
      </c>
      <c r="E3" s="10" t="s">
        <v>47</v>
      </c>
      <c r="F3" s="10" t="s">
        <v>48</v>
      </c>
      <c r="G3" s="10" t="s">
        <v>49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5" ht="15">
      <c r="A4" s="17" t="s">
        <v>12</v>
      </c>
      <c r="B4">
        <v>69</v>
      </c>
      <c r="C4">
        <v>182</v>
      </c>
      <c r="D4" s="18">
        <f>B4/C4</f>
        <v>0.37912087912087911</v>
      </c>
      <c r="E4" s="19">
        <v>6</v>
      </c>
      <c r="F4">
        <v>20</v>
      </c>
      <c r="G4" s="18">
        <f>(B4/C4)*(F4/E4)</f>
        <v>1.2637362637362637</v>
      </c>
      <c r="H4" s="5">
        <v>0.8</v>
      </c>
      <c r="I4" s="18">
        <f t="shared" ref="I4:I27" si="0">G4*H4</f>
        <v>1.0109890109890109</v>
      </c>
      <c r="J4" s="18">
        <f>I4/$I$28</f>
        <v>4.8611040163452565E-2</v>
      </c>
      <c r="K4" s="20">
        <f>K1*$J$4</f>
        <v>6222.2131409219282</v>
      </c>
    </row>
    <row r="5" spans="1:15" ht="15">
      <c r="A5" s="17" t="s">
        <v>13</v>
      </c>
      <c r="B5">
        <v>109</v>
      </c>
      <c r="C5">
        <v>241</v>
      </c>
      <c r="D5" s="18">
        <f>B5/C5</f>
        <v>0.45228215767634855</v>
      </c>
      <c r="E5" s="19">
        <v>1</v>
      </c>
      <c r="F5">
        <v>3</v>
      </c>
      <c r="G5" s="18">
        <f>(B5/C5)*(F5/E5)</f>
        <v>1.3568464730290457</v>
      </c>
      <c r="H5" s="5">
        <v>0.22</v>
      </c>
      <c r="I5" s="18">
        <f t="shared" si="0"/>
        <v>0.29850622406639005</v>
      </c>
      <c r="J5" s="18">
        <f>I5/$I$28</f>
        <v>1.4352973068358687E-2</v>
      </c>
      <c r="K5" s="20">
        <f>K1*$J$5</f>
        <v>1837.1805527499118</v>
      </c>
      <c r="N5">
        <v>8</v>
      </c>
      <c r="O5">
        <v>26</v>
      </c>
    </row>
    <row r="6" spans="1:15" ht="15">
      <c r="A6" s="17" t="s">
        <v>14</v>
      </c>
      <c r="B6">
        <v>141</v>
      </c>
      <c r="C6">
        <v>242</v>
      </c>
      <c r="D6" s="18">
        <f>B6/C6</f>
        <v>0.5826446280991735</v>
      </c>
      <c r="E6" s="19">
        <v>4</v>
      </c>
      <c r="F6">
        <v>15</v>
      </c>
      <c r="G6" s="18">
        <f>(B6/C6)*(F6/E6)</f>
        <v>2.1849173553719008</v>
      </c>
      <c r="H6" s="5">
        <v>0.74</v>
      </c>
      <c r="I6" s="18">
        <f t="shared" si="0"/>
        <v>1.6168388429752065</v>
      </c>
      <c r="J6" s="18">
        <f>I6/$I$28</f>
        <v>7.7741911217027324E-2</v>
      </c>
      <c r="K6" s="20">
        <f t="shared" ref="K6:K27" si="1">$K$1*J6</f>
        <v>9950.9646357794973</v>
      </c>
    </row>
    <row r="7" spans="1:15" ht="15">
      <c r="A7" s="17" t="s">
        <v>15</v>
      </c>
      <c r="B7">
        <v>0</v>
      </c>
      <c r="C7">
        <v>0</v>
      </c>
      <c r="D7" s="18">
        <v>0</v>
      </c>
      <c r="E7">
        <v>0</v>
      </c>
      <c r="F7">
        <v>0</v>
      </c>
      <c r="G7" s="18">
        <v>0</v>
      </c>
      <c r="H7" s="5">
        <v>0</v>
      </c>
      <c r="I7" s="18">
        <f t="shared" si="0"/>
        <v>0</v>
      </c>
      <c r="J7" s="18">
        <v>0</v>
      </c>
      <c r="K7" s="20">
        <f t="shared" si="1"/>
        <v>0</v>
      </c>
    </row>
    <row r="8" spans="1:15" ht="15">
      <c r="A8" s="17" t="s">
        <v>16</v>
      </c>
      <c r="B8">
        <v>58</v>
      </c>
      <c r="C8">
        <v>119</v>
      </c>
      <c r="D8" s="18">
        <f t="shared" ref="D8:D27" si="2">B8/C8</f>
        <v>0.48739495798319327</v>
      </c>
      <c r="E8">
        <v>2</v>
      </c>
      <c r="F8">
        <v>8</v>
      </c>
      <c r="G8" s="18">
        <f t="shared" ref="G8:G27" si="3">(B8/C8)*(F8/E8)</f>
        <v>1.9495798319327731</v>
      </c>
      <c r="H8" s="5">
        <v>0.57999999999999996</v>
      </c>
      <c r="I8" s="18">
        <f t="shared" si="0"/>
        <v>1.1307563025210083</v>
      </c>
      <c r="J8" s="18">
        <f t="shared" ref="J8:J27" si="4">I8/$I$28</f>
        <v>5.436977003652449E-2</v>
      </c>
      <c r="K8" s="20">
        <f>$K$1*J8</f>
        <v>6959.3305646751351</v>
      </c>
    </row>
    <row r="9" spans="1:15" ht="15">
      <c r="A9" s="21" t="s">
        <v>17</v>
      </c>
      <c r="B9">
        <v>82</v>
      </c>
      <c r="C9">
        <v>189</v>
      </c>
      <c r="D9" s="18">
        <f t="shared" si="2"/>
        <v>0.43386243386243384</v>
      </c>
      <c r="E9">
        <v>8</v>
      </c>
      <c r="F9">
        <v>26</v>
      </c>
      <c r="G9" s="18">
        <f t="shared" si="3"/>
        <v>1.41005291005291</v>
      </c>
      <c r="H9" s="5">
        <v>0.85</v>
      </c>
      <c r="I9" s="18">
        <f t="shared" si="0"/>
        <v>1.1985449735449736</v>
      </c>
      <c r="J9" s="18">
        <f t="shared" si="4"/>
        <v>5.7629229609234792E-2</v>
      </c>
      <c r="K9" s="20">
        <f t="shared" si="1"/>
        <v>7376.5413899820533</v>
      </c>
    </row>
    <row r="10" spans="1:15" ht="15">
      <c r="A10" s="22" t="s">
        <v>18</v>
      </c>
      <c r="B10">
        <v>67</v>
      </c>
      <c r="C10">
        <v>86</v>
      </c>
      <c r="D10" s="18">
        <f t="shared" si="2"/>
        <v>0.77906976744186052</v>
      </c>
      <c r="E10">
        <v>1</v>
      </c>
      <c r="F10">
        <v>4</v>
      </c>
      <c r="G10" s="18">
        <f t="shared" si="3"/>
        <v>3.1162790697674421</v>
      </c>
      <c r="H10" s="5">
        <v>0.94</v>
      </c>
      <c r="I10" s="18">
        <f t="shared" si="0"/>
        <v>2.9293023255813955</v>
      </c>
      <c r="J10" s="18">
        <f t="shared" si="4"/>
        <v>0.14084864568451774</v>
      </c>
      <c r="K10" s="20">
        <f t="shared" si="1"/>
        <v>18028.626647618272</v>
      </c>
    </row>
    <row r="11" spans="1:15" ht="15">
      <c r="A11" s="17" t="s">
        <v>19</v>
      </c>
      <c r="B11">
        <v>24</v>
      </c>
      <c r="C11">
        <v>61</v>
      </c>
      <c r="D11" s="18">
        <f t="shared" si="2"/>
        <v>0.39344262295081966</v>
      </c>
      <c r="E11">
        <v>1</v>
      </c>
      <c r="F11">
        <v>4</v>
      </c>
      <c r="G11" s="18">
        <f t="shared" si="3"/>
        <v>1.5737704918032787</v>
      </c>
      <c r="H11" s="5">
        <v>0.98</v>
      </c>
      <c r="I11" s="18">
        <f t="shared" si="0"/>
        <v>1.542295081967213</v>
      </c>
      <c r="J11" s="18">
        <f t="shared" si="4"/>
        <v>7.4157648954127436E-2</v>
      </c>
      <c r="K11" s="20">
        <f t="shared" si="1"/>
        <v>9492.1790661283121</v>
      </c>
    </row>
    <row r="12" spans="1:15" ht="15">
      <c r="A12" s="17" t="s">
        <v>20</v>
      </c>
      <c r="B12">
        <v>78</v>
      </c>
      <c r="C12">
        <v>130</v>
      </c>
      <c r="D12" s="18">
        <f t="shared" si="2"/>
        <v>0.6</v>
      </c>
      <c r="E12">
        <v>2</v>
      </c>
      <c r="F12">
        <v>6</v>
      </c>
      <c r="G12" s="18">
        <f t="shared" si="3"/>
        <v>1.7999999999999998</v>
      </c>
      <c r="H12" s="5">
        <v>0.57999999999999996</v>
      </c>
      <c r="I12" s="18">
        <f t="shared" si="0"/>
        <v>1.0439999999999998</v>
      </c>
      <c r="J12" s="18">
        <f t="shared" si="4"/>
        <v>5.0198296300963556E-2</v>
      </c>
      <c r="K12" s="20">
        <f t="shared" si="1"/>
        <v>6425.3819265233351</v>
      </c>
    </row>
    <row r="13" spans="1:15" ht="15">
      <c r="A13" s="17" t="s">
        <v>21</v>
      </c>
      <c r="B13">
        <v>108</v>
      </c>
      <c r="C13">
        <v>158</v>
      </c>
      <c r="D13" s="18">
        <f t="shared" si="2"/>
        <v>0.68354430379746833</v>
      </c>
      <c r="E13">
        <v>1</v>
      </c>
      <c r="F13">
        <v>3</v>
      </c>
      <c r="G13" s="18">
        <f t="shared" si="3"/>
        <v>2.0506329113924049</v>
      </c>
      <c r="H13" s="5">
        <v>0.43</v>
      </c>
      <c r="I13" s="18">
        <f t="shared" si="0"/>
        <v>0.88177215189873404</v>
      </c>
      <c r="J13" s="18">
        <f t="shared" si="4"/>
        <v>4.2397949953018106E-2</v>
      </c>
      <c r="K13" s="20">
        <f t="shared" si="1"/>
        <v>5426.9375939863176</v>
      </c>
    </row>
    <row r="14" spans="1:15" ht="15">
      <c r="A14" s="17" t="s">
        <v>22</v>
      </c>
      <c r="B14">
        <v>214</v>
      </c>
      <c r="C14">
        <v>399</v>
      </c>
      <c r="D14" s="18">
        <f t="shared" si="2"/>
        <v>0.53634085213032578</v>
      </c>
      <c r="E14">
        <v>3</v>
      </c>
      <c r="F14">
        <v>9</v>
      </c>
      <c r="G14" s="18">
        <f t="shared" si="3"/>
        <v>1.6090225563909772</v>
      </c>
      <c r="H14" s="5">
        <v>0.14000000000000001</v>
      </c>
      <c r="I14" s="18">
        <f t="shared" si="0"/>
        <v>0.22526315789473683</v>
      </c>
      <c r="J14" s="18">
        <f t="shared" si="4"/>
        <v>1.0831251672117567E-2</v>
      </c>
      <c r="K14" s="20">
        <f t="shared" si="1"/>
        <v>1386.4002140310486</v>
      </c>
    </row>
    <row r="15" spans="1:15" ht="15">
      <c r="A15" s="17" t="s">
        <v>23</v>
      </c>
      <c r="B15">
        <v>21</v>
      </c>
      <c r="C15">
        <v>62</v>
      </c>
      <c r="D15" s="18">
        <f t="shared" si="2"/>
        <v>0.33870967741935482</v>
      </c>
      <c r="E15">
        <v>1</v>
      </c>
      <c r="F15">
        <v>3</v>
      </c>
      <c r="G15" s="18">
        <f t="shared" si="3"/>
        <v>1.0161290322580645</v>
      </c>
      <c r="H15" s="5">
        <v>1</v>
      </c>
      <c r="I15" s="18">
        <f t="shared" si="0"/>
        <v>1.0161290322580645</v>
      </c>
      <c r="J15" s="18">
        <f t="shared" si="4"/>
        <v>4.8858186054886669E-2</v>
      </c>
      <c r="K15" s="20">
        <f t="shared" si="1"/>
        <v>6253.8478150254941</v>
      </c>
    </row>
    <row r="16" spans="1:15" ht="15">
      <c r="A16" s="17" t="s">
        <v>24</v>
      </c>
      <c r="B16">
        <v>88</v>
      </c>
      <c r="C16">
        <v>140</v>
      </c>
      <c r="D16" s="18">
        <f t="shared" si="2"/>
        <v>0.62857142857142856</v>
      </c>
      <c r="E16">
        <v>1</v>
      </c>
      <c r="F16">
        <v>3</v>
      </c>
      <c r="G16" s="18">
        <f t="shared" si="3"/>
        <v>1.8857142857142857</v>
      </c>
      <c r="H16" s="5">
        <v>0.12</v>
      </c>
      <c r="I16" s="18">
        <f t="shared" si="0"/>
        <v>0.22628571428571428</v>
      </c>
      <c r="J16" s="18">
        <f t="shared" si="4"/>
        <v>1.0880418902671905E-2</v>
      </c>
      <c r="K16" s="20">
        <f t="shared" si="1"/>
        <v>1392.6936195420039</v>
      </c>
    </row>
    <row r="17" spans="1:11" ht="15">
      <c r="A17" s="17" t="s">
        <v>25</v>
      </c>
      <c r="B17">
        <v>25</v>
      </c>
      <c r="C17">
        <v>142</v>
      </c>
      <c r="D17" s="18">
        <f t="shared" si="2"/>
        <v>0.176056338028169</v>
      </c>
      <c r="E17">
        <v>2</v>
      </c>
      <c r="F17">
        <v>8</v>
      </c>
      <c r="G17" s="18">
        <f t="shared" si="3"/>
        <v>0.70422535211267601</v>
      </c>
      <c r="H17" s="5">
        <v>0.77</v>
      </c>
      <c r="I17" s="18">
        <f t="shared" si="0"/>
        <v>0.54225352112676051</v>
      </c>
      <c r="J17" s="18">
        <f t="shared" si="4"/>
        <v>2.6072991306285372E-2</v>
      </c>
      <c r="K17" s="20">
        <f t="shared" si="1"/>
        <v>3337.3428872045279</v>
      </c>
    </row>
    <row r="18" spans="1:11" ht="15">
      <c r="A18" s="17" t="s">
        <v>26</v>
      </c>
      <c r="B18">
        <v>19</v>
      </c>
      <c r="C18">
        <v>62</v>
      </c>
      <c r="D18" s="18">
        <f t="shared" si="2"/>
        <v>0.30645161290322581</v>
      </c>
      <c r="E18">
        <v>1</v>
      </c>
      <c r="F18">
        <v>3</v>
      </c>
      <c r="G18" s="18">
        <f t="shared" si="3"/>
        <v>0.91935483870967749</v>
      </c>
      <c r="H18" s="5">
        <v>0.54</v>
      </c>
      <c r="I18" s="18">
        <f t="shared" si="0"/>
        <v>0.49645161290322587</v>
      </c>
      <c r="J18" s="18">
        <f t="shared" si="4"/>
        <v>2.3870713758244635E-2</v>
      </c>
      <c r="K18" s="20">
        <f t="shared" si="1"/>
        <v>3055.4513610553136</v>
      </c>
    </row>
    <row r="19" spans="1:11" ht="15">
      <c r="A19" s="17" t="s">
        <v>27</v>
      </c>
      <c r="B19">
        <v>78</v>
      </c>
      <c r="C19">
        <v>133</v>
      </c>
      <c r="D19" s="18">
        <f t="shared" si="2"/>
        <v>0.5864661654135338</v>
      </c>
      <c r="E19">
        <v>2</v>
      </c>
      <c r="F19">
        <v>6</v>
      </c>
      <c r="G19" s="18">
        <f t="shared" si="3"/>
        <v>1.7593984962406015</v>
      </c>
      <c r="H19" s="5">
        <v>0.89</v>
      </c>
      <c r="I19" s="18">
        <f t="shared" si="0"/>
        <v>1.5658646616541354</v>
      </c>
      <c r="J19" s="18">
        <f t="shared" si="4"/>
        <v>7.5290937023871976E-2</v>
      </c>
      <c r="K19" s="20">
        <f t="shared" si="1"/>
        <v>9637.2399390556129</v>
      </c>
    </row>
    <row r="20" spans="1:11" ht="15">
      <c r="A20" s="21" t="s">
        <v>28</v>
      </c>
      <c r="B20">
        <v>262</v>
      </c>
      <c r="C20">
        <v>444</v>
      </c>
      <c r="D20" s="18">
        <f t="shared" si="2"/>
        <v>0.59009009009009006</v>
      </c>
      <c r="E20">
        <v>8</v>
      </c>
      <c r="F20">
        <v>24</v>
      </c>
      <c r="G20" s="18">
        <f t="shared" si="3"/>
        <v>1.7702702702702702</v>
      </c>
      <c r="H20" s="5">
        <v>0.34</v>
      </c>
      <c r="I20" s="18">
        <f t="shared" si="0"/>
        <v>0.60189189189189185</v>
      </c>
      <c r="J20" s="18">
        <f t="shared" si="4"/>
        <v>2.894056276852176E-2</v>
      </c>
      <c r="K20" s="20">
        <f t="shared" si="1"/>
        <v>3704.392034370785</v>
      </c>
    </row>
    <row r="21" spans="1:11" ht="15">
      <c r="A21" s="17" t="s">
        <v>29</v>
      </c>
      <c r="B21">
        <v>41</v>
      </c>
      <c r="C21">
        <v>101</v>
      </c>
      <c r="D21" s="18">
        <f t="shared" si="2"/>
        <v>0.40594059405940597</v>
      </c>
      <c r="E21">
        <v>2</v>
      </c>
      <c r="F21">
        <v>6</v>
      </c>
      <c r="G21" s="18">
        <f t="shared" si="3"/>
        <v>1.217821782178218</v>
      </c>
      <c r="H21" s="5">
        <v>0.94</v>
      </c>
      <c r="I21" s="18">
        <f t="shared" si="0"/>
        <v>1.1447524752475249</v>
      </c>
      <c r="J21" s="18">
        <f t="shared" si="4"/>
        <v>5.5042743241127116E-2</v>
      </c>
      <c r="K21" s="20">
        <f t="shared" si="1"/>
        <v>7045.4711348642713</v>
      </c>
    </row>
    <row r="22" spans="1:11" ht="15">
      <c r="A22" s="17" t="s">
        <v>30</v>
      </c>
      <c r="B22">
        <v>71</v>
      </c>
      <c r="C22">
        <v>139</v>
      </c>
      <c r="D22" s="18">
        <f t="shared" si="2"/>
        <v>0.51079136690647486</v>
      </c>
      <c r="E22">
        <v>2</v>
      </c>
      <c r="F22">
        <v>6</v>
      </c>
      <c r="G22" s="18">
        <f t="shared" si="3"/>
        <v>1.5323741007194247</v>
      </c>
      <c r="H22" s="5">
        <v>0.52</v>
      </c>
      <c r="I22" s="18">
        <f t="shared" si="0"/>
        <v>0.79683453237410085</v>
      </c>
      <c r="J22" s="18">
        <f t="shared" si="4"/>
        <v>3.8313923332332238E-2</v>
      </c>
      <c r="K22" s="20">
        <f t="shared" si="1"/>
        <v>4904.1821865385264</v>
      </c>
    </row>
    <row r="23" spans="1:11" ht="15">
      <c r="A23" s="17" t="s">
        <v>31</v>
      </c>
      <c r="B23">
        <v>16</v>
      </c>
      <c r="C23">
        <v>81</v>
      </c>
      <c r="D23" s="18">
        <f t="shared" si="2"/>
        <v>0.19753086419753085</v>
      </c>
      <c r="E23">
        <v>2</v>
      </c>
      <c r="F23">
        <v>7</v>
      </c>
      <c r="G23" s="18">
        <f t="shared" si="3"/>
        <v>0.69135802469135799</v>
      </c>
      <c r="H23" s="5">
        <v>0.79</v>
      </c>
      <c r="I23" s="18">
        <f t="shared" si="0"/>
        <v>0.54617283950617279</v>
      </c>
      <c r="J23" s="18">
        <f t="shared" si="4"/>
        <v>2.6261442556579962E-2</v>
      </c>
      <c r="K23" s="20">
        <f t="shared" si="1"/>
        <v>3361.4646472422351</v>
      </c>
    </row>
    <row r="24" spans="1:11" ht="15">
      <c r="A24" s="17" t="s">
        <v>32</v>
      </c>
      <c r="B24">
        <v>54</v>
      </c>
      <c r="C24">
        <v>151</v>
      </c>
      <c r="D24" s="18">
        <f t="shared" si="2"/>
        <v>0.35761589403973509</v>
      </c>
      <c r="E24">
        <v>2</v>
      </c>
      <c r="F24">
        <v>6</v>
      </c>
      <c r="G24" s="18">
        <f t="shared" si="3"/>
        <v>1.0728476821192052</v>
      </c>
      <c r="H24" s="5">
        <v>0.55000000000000004</v>
      </c>
      <c r="I24" s="18">
        <f t="shared" si="0"/>
        <v>0.59006622516556295</v>
      </c>
      <c r="J24" s="18">
        <f t="shared" si="4"/>
        <v>2.8371953264417635E-2</v>
      </c>
      <c r="K24" s="20">
        <f t="shared" si="1"/>
        <v>3631.6100178454572</v>
      </c>
    </row>
    <row r="25" spans="1:11" ht="15">
      <c r="A25" s="17" t="s">
        <v>33</v>
      </c>
      <c r="B25">
        <v>30</v>
      </c>
      <c r="C25">
        <v>141</v>
      </c>
      <c r="D25" s="18">
        <f t="shared" si="2"/>
        <v>0.21276595744680851</v>
      </c>
      <c r="E25">
        <v>2</v>
      </c>
      <c r="F25">
        <v>6</v>
      </c>
      <c r="G25" s="18">
        <f t="shared" si="3"/>
        <v>0.63829787234042556</v>
      </c>
      <c r="H25" s="5">
        <v>0.79</v>
      </c>
      <c r="I25" s="18">
        <f t="shared" si="0"/>
        <v>0.50425531914893618</v>
      </c>
      <c r="J25" s="18">
        <f t="shared" si="4"/>
        <v>2.4245936706872841E-2</v>
      </c>
      <c r="K25" s="20">
        <f t="shared" si="1"/>
        <v>3103.4798984797235</v>
      </c>
    </row>
    <row r="26" spans="1:11" ht="15">
      <c r="A26" s="17" t="s">
        <v>34</v>
      </c>
      <c r="B26">
        <v>26</v>
      </c>
      <c r="C26">
        <v>82</v>
      </c>
      <c r="D26" s="18">
        <f t="shared" si="2"/>
        <v>0.31707317073170732</v>
      </c>
      <c r="E26">
        <v>1</v>
      </c>
      <c r="F26">
        <v>3</v>
      </c>
      <c r="G26" s="18">
        <f t="shared" si="3"/>
        <v>0.95121951219512191</v>
      </c>
      <c r="H26" s="5">
        <v>0.24</v>
      </c>
      <c r="I26" s="18">
        <f t="shared" si="0"/>
        <v>0.22829268292682925</v>
      </c>
      <c r="J26" s="18">
        <f t="shared" si="4"/>
        <v>1.0976919292052587E-2</v>
      </c>
      <c r="K26" s="20">
        <f t="shared" si="1"/>
        <v>1405.0456693827311</v>
      </c>
    </row>
    <row r="27" spans="1:11" ht="15">
      <c r="A27" s="17" t="s">
        <v>35</v>
      </c>
      <c r="B27">
        <v>44</v>
      </c>
      <c r="C27">
        <v>186</v>
      </c>
      <c r="D27" s="18">
        <f t="shared" si="2"/>
        <v>0.23655913978494625</v>
      </c>
      <c r="E27">
        <v>3</v>
      </c>
      <c r="F27">
        <v>9</v>
      </c>
      <c r="G27" s="18">
        <f t="shared" si="3"/>
        <v>0.70967741935483875</v>
      </c>
      <c r="H27" s="5">
        <v>0.93</v>
      </c>
      <c r="I27" s="18">
        <f t="shared" si="0"/>
        <v>0.66</v>
      </c>
      <c r="J27" s="18">
        <f t="shared" si="4"/>
        <v>3.1734555132793059E-2</v>
      </c>
      <c r="K27" s="20">
        <f t="shared" si="1"/>
        <v>4062.0230569975115</v>
      </c>
    </row>
    <row r="28" spans="1:11" ht="15">
      <c r="A28" s="9" t="s">
        <v>36</v>
      </c>
      <c r="B28" s="9">
        <f>SUM(B4:B27)</f>
        <v>1725</v>
      </c>
      <c r="C28" s="9">
        <f>SUM(C4:C27)</f>
        <v>3671</v>
      </c>
      <c r="D28" s="9"/>
      <c r="E28" s="9">
        <f>SUM(E4:E27)</f>
        <v>58</v>
      </c>
      <c r="F28" s="9"/>
      <c r="G28" s="9"/>
      <c r="H28" s="9">
        <f>SUM(H4:H27)</f>
        <v>14.679999999999998</v>
      </c>
      <c r="I28" s="23">
        <f>SUM(I4:I27)</f>
        <v>20.797518579927587</v>
      </c>
      <c r="J28" s="9">
        <f>SUM(J4:J27)</f>
        <v>1</v>
      </c>
      <c r="K28" s="24">
        <f>SUM(K4:K27)</f>
        <v>128000</v>
      </c>
    </row>
    <row r="29" spans="1:11" ht="15">
      <c r="A29" s="7" t="s">
        <v>50</v>
      </c>
    </row>
    <row r="30" spans="1:11" ht="15">
      <c r="A30" s="7" t="s">
        <v>39</v>
      </c>
    </row>
    <row r="31" spans="1:11" ht="15">
      <c r="A31" s="7" t="s">
        <v>38</v>
      </c>
    </row>
  </sheetData>
  <mergeCells count="1">
    <mergeCell ref="H1:J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zoomScaleNormal="100" workbookViewId="0">
      <selection activeCell="L19" sqref="L19"/>
    </sheetView>
  </sheetViews>
  <sheetFormatPr defaultRowHeight="14.25"/>
  <cols>
    <col min="1" max="1" width="6.125"/>
    <col min="2" max="2" width="17.5"/>
    <col min="3" max="5" width="0" hidden="1" customWidth="1"/>
    <col min="6" max="6" width="21.625"/>
    <col min="7" max="7" width="7.875"/>
    <col min="8" max="8" width="16"/>
    <col min="9" max="9" width="13.5"/>
    <col min="10" max="10" width="23.625"/>
    <col min="11" max="1025" width="7.875"/>
  </cols>
  <sheetData>
    <row r="1" spans="2:10" ht="15">
      <c r="B1" s="25"/>
      <c r="C1" s="25"/>
      <c r="D1" s="25"/>
      <c r="E1" s="25"/>
      <c r="F1" s="25"/>
    </row>
    <row r="2" spans="2:10" ht="15">
      <c r="B2" s="26" t="s">
        <v>1</v>
      </c>
      <c r="C2" s="26" t="s">
        <v>51</v>
      </c>
      <c r="D2" s="26" t="s">
        <v>52</v>
      </c>
      <c r="E2" s="26" t="s">
        <v>53</v>
      </c>
      <c r="F2" s="26" t="s">
        <v>36</v>
      </c>
    </row>
    <row r="3" spans="2:10" ht="15">
      <c r="B3" t="s">
        <v>12</v>
      </c>
      <c r="C3" s="5">
        <f>EXTENSÃO!K4</f>
        <v>5837.744810081269</v>
      </c>
      <c r="D3" s="5">
        <f>GRADUAÇÃO!K4</f>
        <v>6222.2131409219282</v>
      </c>
      <c r="E3" s="5">
        <f>'PÓS-GRAUAÇÃO'!I4</f>
        <v>3914.0610450629333</v>
      </c>
      <c r="F3" s="5">
        <f t="shared" ref="F3:F26" si="0">C3+D3+E3</f>
        <v>15974.018996066132</v>
      </c>
      <c r="H3" s="37" t="s">
        <v>54</v>
      </c>
      <c r="I3" s="37"/>
      <c r="J3" s="27">
        <v>320000</v>
      </c>
    </row>
    <row r="4" spans="2:10">
      <c r="B4" t="s">
        <v>13</v>
      </c>
      <c r="C4" s="5">
        <f>EXTENSÃO!K5</f>
        <v>1288.067692383936</v>
      </c>
      <c r="D4" s="5">
        <f>GRADUAÇÃO!K5</f>
        <v>1837.1805527499118</v>
      </c>
      <c r="E4" s="5">
        <f>'PÓS-GRAUAÇÃO'!I5</f>
        <v>485.71897481382371</v>
      </c>
      <c r="F4" s="5">
        <f t="shared" si="0"/>
        <v>3610.9672199476718</v>
      </c>
    </row>
    <row r="5" spans="2:10" ht="15">
      <c r="B5" t="s">
        <v>14</v>
      </c>
      <c r="C5" s="5">
        <f>EXTENSÃO!K6</f>
        <v>5127.9624562310846</v>
      </c>
      <c r="D5" s="5">
        <f>GRADUAÇÃO!K6</f>
        <v>9950.9646357794973</v>
      </c>
      <c r="E5" s="5">
        <f>'PÓS-GRAUAÇÃO'!I6</f>
        <v>4131.1639707434815</v>
      </c>
      <c r="F5" s="5">
        <f t="shared" si="0"/>
        <v>19210.091062754062</v>
      </c>
      <c r="H5" s="28" t="s">
        <v>55</v>
      </c>
      <c r="I5" s="29" t="s">
        <v>56</v>
      </c>
      <c r="J5" s="30" t="s">
        <v>57</v>
      </c>
    </row>
    <row r="6" spans="2:10">
      <c r="B6" t="s">
        <v>15</v>
      </c>
      <c r="C6" s="5">
        <f>EXTENSÃO!K7</f>
        <v>0</v>
      </c>
      <c r="D6" s="5">
        <f>GRADUAÇÃO!K7</f>
        <v>0</v>
      </c>
      <c r="E6" s="5">
        <f>'PÓS-GRAUAÇÃO'!I7</f>
        <v>0</v>
      </c>
      <c r="F6" s="5">
        <f t="shared" si="0"/>
        <v>0</v>
      </c>
      <c r="H6" s="31" t="s">
        <v>52</v>
      </c>
      <c r="I6" s="32">
        <v>0.4</v>
      </c>
      <c r="J6" s="33">
        <f>(J3*$I$6)</f>
        <v>128000</v>
      </c>
    </row>
    <row r="7" spans="2:10">
      <c r="B7" t="s">
        <v>16</v>
      </c>
      <c r="C7" s="5">
        <f>EXTENSÃO!K8</f>
        <v>5817.8954598115924</v>
      </c>
      <c r="D7" s="5">
        <f>GRADUAÇÃO!K8</f>
        <v>6959.3305646751351</v>
      </c>
      <c r="E7" s="5">
        <f>'PÓS-GRAUAÇÃO'!I8</f>
        <v>7917.9552273059535</v>
      </c>
      <c r="F7" s="5">
        <f>C7+D7+E7</f>
        <v>20695.181251792681</v>
      </c>
      <c r="H7" s="31" t="s">
        <v>53</v>
      </c>
      <c r="I7" s="32">
        <v>0.3</v>
      </c>
      <c r="J7" s="33">
        <f>(I7*J3)</f>
        <v>96000</v>
      </c>
    </row>
    <row r="8" spans="2:10">
      <c r="B8" t="s">
        <v>17</v>
      </c>
      <c r="C8" s="5">
        <f>EXTENSÃO!K9</f>
        <v>15920.83302880163</v>
      </c>
      <c r="D8" s="5">
        <f>GRADUAÇÃO!K9</f>
        <v>7376.5413899820533</v>
      </c>
      <c r="E8" s="5">
        <f>'PÓS-GRAUAÇÃO'!I9</f>
        <v>6993.4218159895172</v>
      </c>
      <c r="F8" s="5">
        <f t="shared" si="0"/>
        <v>30290.796234773199</v>
      </c>
      <c r="H8" s="31" t="s">
        <v>51</v>
      </c>
      <c r="I8" s="32">
        <v>0.3</v>
      </c>
      <c r="J8" s="33">
        <f>(I8*J3)</f>
        <v>96000</v>
      </c>
    </row>
    <row r="9" spans="2:10">
      <c r="B9" t="s">
        <v>18</v>
      </c>
      <c r="C9" s="5">
        <f>EXTENSÃO!K10</f>
        <v>7005.3057007935977</v>
      </c>
      <c r="D9" s="5">
        <f>GRADUAÇÃO!K10</f>
        <v>18028.626647618272</v>
      </c>
      <c r="E9" s="5">
        <f>'PÓS-GRAUAÇÃO'!I10</f>
        <v>13749.158707514032</v>
      </c>
      <c r="F9" s="5">
        <f t="shared" si="0"/>
        <v>38783.091055925899</v>
      </c>
    </row>
    <row r="10" spans="2:10">
      <c r="B10" t="s">
        <v>19</v>
      </c>
      <c r="C10" s="5">
        <f>EXTENSÃO!K11</f>
        <v>9647.4271249977919</v>
      </c>
      <c r="D10" s="5">
        <f>GRADUAÇÃO!K11</f>
        <v>9492.1790661283121</v>
      </c>
      <c r="E10" s="5">
        <f>'PÓS-GRAUAÇÃO'!I11</f>
        <v>11347.931521893232</v>
      </c>
      <c r="F10" s="5">
        <f t="shared" si="0"/>
        <v>30487.537713019337</v>
      </c>
    </row>
    <row r="11" spans="2:10">
      <c r="B11" t="s">
        <v>20</v>
      </c>
      <c r="C11" s="5">
        <f>EXTENSÃO!K12</f>
        <v>1446.4577811901449</v>
      </c>
      <c r="D11" s="5">
        <f>GRADUAÇÃO!K12</f>
        <v>6425.3819265233351</v>
      </c>
      <c r="E11" s="5">
        <f>'PÓS-GRAUAÇÃO'!I12</f>
        <v>0</v>
      </c>
      <c r="F11" s="5">
        <f t="shared" si="0"/>
        <v>7871.8397077134796</v>
      </c>
    </row>
    <row r="12" spans="2:10">
      <c r="B12" t="s">
        <v>21</v>
      </c>
      <c r="C12" s="5">
        <f>EXTENSÃO!K13</f>
        <v>2957.0442324823161</v>
      </c>
      <c r="D12" s="5">
        <f>GRADUAÇÃO!K13</f>
        <v>5426.9375939863176</v>
      </c>
      <c r="E12" s="5">
        <f>'PÓS-GRAUAÇÃO'!I13</f>
        <v>0</v>
      </c>
      <c r="F12" s="5">
        <f t="shared" si="0"/>
        <v>8383.9818264686328</v>
      </c>
    </row>
    <row r="13" spans="2:10">
      <c r="B13" t="s">
        <v>22</v>
      </c>
      <c r="C13" s="5">
        <f>EXTENSÃO!K14</f>
        <v>737.32480600397218</v>
      </c>
      <c r="D13" s="5">
        <f>GRADUAÇÃO!K14</f>
        <v>1386.4002140310486</v>
      </c>
      <c r="E13" s="5">
        <f>'PÓS-GRAUAÇÃO'!I14</f>
        <v>2559.6838019308038</v>
      </c>
      <c r="F13" s="5">
        <f t="shared" si="0"/>
        <v>4683.4088219658242</v>
      </c>
    </row>
    <row r="14" spans="2:10">
      <c r="B14" t="s">
        <v>23</v>
      </c>
      <c r="C14" s="5">
        <f>EXTENSÃO!K15</f>
        <v>8007.9867084474545</v>
      </c>
      <c r="D14" s="5">
        <f>GRADUAÇÃO!K15</f>
        <v>6253.8478150254941</v>
      </c>
      <c r="E14" s="5">
        <f>'PÓS-GRAUAÇÃO'!I15</f>
        <v>0</v>
      </c>
      <c r="F14" s="5">
        <f t="shared" si="0"/>
        <v>14261.83452347295</v>
      </c>
    </row>
    <row r="15" spans="2:10">
      <c r="B15" t="s">
        <v>24</v>
      </c>
      <c r="C15" s="5">
        <f>EXTENSÃO!K16</f>
        <v>554.25493445322581</v>
      </c>
      <c r="D15" s="5">
        <f>GRADUAÇÃO!K16</f>
        <v>1392.6936195420039</v>
      </c>
      <c r="E15" s="5">
        <f>'PÓS-GRAUAÇÃO'!I16</f>
        <v>615.86377189312566</v>
      </c>
      <c r="F15" s="5">
        <f t="shared" si="0"/>
        <v>2562.8123258883552</v>
      </c>
    </row>
    <row r="16" spans="2:10">
      <c r="B16" t="s">
        <v>25</v>
      </c>
      <c r="C16" s="5">
        <f>EXTENSÃO!K17</f>
        <v>1044.5573764695414</v>
      </c>
      <c r="D16" s="5">
        <f>GRADUAÇÃO!K17</f>
        <v>3337.3428872045279</v>
      </c>
      <c r="E16" s="5">
        <f>'PÓS-GRAUAÇÃO'!I17</f>
        <v>549.39554773148973</v>
      </c>
      <c r="F16" s="5">
        <f t="shared" si="0"/>
        <v>4931.2958114055591</v>
      </c>
    </row>
    <row r="17" spans="2:6">
      <c r="B17" t="s">
        <v>26</v>
      </c>
      <c r="C17" s="5">
        <f>EXTENSÃO!K18</f>
        <v>407.40566888346018</v>
      </c>
      <c r="D17" s="5">
        <f>GRADUAÇÃO!K18</f>
        <v>3055.4513610553136</v>
      </c>
      <c r="E17" s="5">
        <f>'PÓS-GRAUAÇÃO'!I18</f>
        <v>5265.6352496862255</v>
      </c>
      <c r="F17" s="5">
        <f t="shared" si="0"/>
        <v>8728.4922796249994</v>
      </c>
    </row>
    <row r="18" spans="2:6">
      <c r="B18" t="s">
        <v>27</v>
      </c>
      <c r="C18" s="5">
        <f>EXTENSÃO!K19</f>
        <v>3917.4207794075242</v>
      </c>
      <c r="D18" s="5">
        <f>GRADUAÇÃO!K19</f>
        <v>9637.2399390556129</v>
      </c>
      <c r="E18" s="5">
        <f>'PÓS-GRAUAÇÃO'!I19</f>
        <v>3560.4295325513694</v>
      </c>
      <c r="F18" s="5">
        <f t="shared" si="0"/>
        <v>17115.090251014506</v>
      </c>
    </row>
    <row r="19" spans="2:6">
      <c r="B19" t="s">
        <v>28</v>
      </c>
      <c r="C19" s="5">
        <f>EXTENSÃO!K20</f>
        <v>5755.802620506458</v>
      </c>
      <c r="D19" s="5">
        <f>GRADUAÇÃO!K20</f>
        <v>3704.392034370785</v>
      </c>
      <c r="E19" s="5">
        <f>'PÓS-GRAUAÇÃO'!I20</f>
        <v>2693.7624772700365</v>
      </c>
      <c r="F19" s="5">
        <f t="shared" si="0"/>
        <v>12153.957132147279</v>
      </c>
    </row>
    <row r="20" spans="2:6">
      <c r="B20" t="s">
        <v>29</v>
      </c>
      <c r="C20" s="5">
        <f>EXTENSÃO!K21</f>
        <v>2552.1245070871478</v>
      </c>
      <c r="D20" s="5">
        <f>GRADUAÇÃO!K21</f>
        <v>7045.4711348642713</v>
      </c>
      <c r="E20" s="5">
        <f>'PÓS-GRAUAÇÃO'!I21</f>
        <v>0</v>
      </c>
      <c r="F20" s="5">
        <f t="shared" si="0"/>
        <v>9597.5956419514187</v>
      </c>
    </row>
    <row r="21" spans="2:6">
      <c r="B21" t="s">
        <v>30</v>
      </c>
      <c r="C21" s="5">
        <f>EXTENSÃO!K22</f>
        <v>11362.650287707151</v>
      </c>
      <c r="D21" s="5">
        <f>GRADUAÇÃO!K22</f>
        <v>4904.1821865385264</v>
      </c>
      <c r="E21" s="5">
        <f>'PÓS-GRAUAÇÃO'!I22</f>
        <v>0</v>
      </c>
      <c r="F21" s="5">
        <f t="shared" si="0"/>
        <v>16266.832474245677</v>
      </c>
    </row>
    <row r="22" spans="2:6">
      <c r="B22" t="s">
        <v>31</v>
      </c>
      <c r="C22" s="5">
        <f>EXTENSÃO!K23</f>
        <v>31.272623074444844</v>
      </c>
      <c r="D22" s="5">
        <f>GRADUAÇÃO!K23</f>
        <v>3361.4646472422351</v>
      </c>
      <c r="E22" s="5">
        <f>'PÓS-GRAUAÇÃO'!I23</f>
        <v>4668.745058644352</v>
      </c>
      <c r="F22" s="5">
        <f t="shared" si="0"/>
        <v>8061.4823289610322</v>
      </c>
    </row>
    <row r="23" spans="2:6">
      <c r="B23" t="s">
        <v>32</v>
      </c>
      <c r="C23" s="5">
        <f>EXTENSÃO!K24</f>
        <v>1567.5897136050833</v>
      </c>
      <c r="D23" s="5">
        <f>GRADUAÇÃO!K24</f>
        <v>3631.6100178454572</v>
      </c>
      <c r="E23" s="5">
        <f>'PÓS-GRAUAÇÃO'!I24</f>
        <v>0</v>
      </c>
      <c r="F23" s="5">
        <f t="shared" si="0"/>
        <v>5199.1997314505406</v>
      </c>
    </row>
    <row r="24" spans="2:6">
      <c r="B24" t="s">
        <v>33</v>
      </c>
      <c r="C24" s="5">
        <f>EXTENSÃO!K25</f>
        <v>2666.4025989789816</v>
      </c>
      <c r="D24" s="5">
        <f>GRADUAÇÃO!K25</f>
        <v>3103.4798984797235</v>
      </c>
      <c r="E24" s="5">
        <f>'PÓS-GRAUAÇÃO'!I25</f>
        <v>11555.144020144773</v>
      </c>
      <c r="F24" s="5">
        <f t="shared" si="0"/>
        <v>17325.026517603477</v>
      </c>
    </row>
    <row r="25" spans="2:6">
      <c r="B25" t="s">
        <v>34</v>
      </c>
      <c r="C25" s="5">
        <f>EXTENSÃO!K26</f>
        <v>2297.1218495520643</v>
      </c>
      <c r="D25" s="5">
        <f>GRADUAÇÃO!K26</f>
        <v>1405.0456693827311</v>
      </c>
      <c r="E25" s="5">
        <f>'PÓS-GRAUAÇÃO'!I26</f>
        <v>877.60587494770425</v>
      </c>
      <c r="F25" s="5">
        <f t="shared" si="0"/>
        <v>4579.7733938824995</v>
      </c>
    </row>
    <row r="26" spans="2:6">
      <c r="B26" t="s">
        <v>35</v>
      </c>
      <c r="C26" s="5">
        <f>EXTENSÃO!K27</f>
        <v>49.347239050140679</v>
      </c>
      <c r="D26" s="5">
        <f>GRADUAÇÃO!K27</f>
        <v>4062.0230569975115</v>
      </c>
      <c r="E26" s="5">
        <f>'PÓS-GRAUAÇÃO'!I27</f>
        <v>15114.323401877129</v>
      </c>
      <c r="F26" s="5">
        <f t="shared" si="0"/>
        <v>19225.69369792478</v>
      </c>
    </row>
    <row r="27" spans="2:6" ht="15.75">
      <c r="B27" s="9" t="s">
        <v>36</v>
      </c>
      <c r="C27" s="34">
        <f>SUM(C3:C26)</f>
        <v>95999.999999999985</v>
      </c>
      <c r="D27" s="34">
        <f>SUM(D3:D26)</f>
        <v>128000</v>
      </c>
      <c r="E27" s="34">
        <f>SUM(E3:E26)</f>
        <v>95999.999999999985</v>
      </c>
      <c r="F27" s="35">
        <f>SUM(F3:F26)</f>
        <v>320000</v>
      </c>
    </row>
  </sheetData>
  <mergeCells count="1">
    <mergeCell ref="H3:I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EXTENSÃO</vt:lpstr>
      <vt:lpstr>PÓS-GRAUAÇÃO</vt:lpstr>
      <vt:lpstr>GRADUAÇÃO</vt:lpstr>
      <vt:lpstr>GERAL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Jouber de Lima Lessa</dc:creator>
  <cp:lastModifiedBy>Luisa Nascimento Oliveira</cp:lastModifiedBy>
  <cp:revision>21</cp:revision>
  <cp:lastPrinted>2019-03-21T12:57:46Z</cp:lastPrinted>
  <dcterms:created xsi:type="dcterms:W3CDTF">2019-01-24T20:38:03Z</dcterms:created>
  <dcterms:modified xsi:type="dcterms:W3CDTF">2019-08-19T12:52:58Z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