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30" yWindow="360" windowWidth="15480" windowHeight="4815" tabRatio="601"/>
  </bookViews>
  <sheets>
    <sheet name="ORÇ." sheetId="1" r:id="rId1"/>
    <sheet name="CRON." sheetId="4" r:id="rId2"/>
  </sheets>
  <definedNames>
    <definedName name="_xlnm.Print_Area" localSheetId="1">CRON.!$A$1:$AB$63</definedName>
    <definedName name="_xlnm.Print_Area" localSheetId="0">ORÇ.!$A$1:$K$200</definedName>
  </definedNames>
  <calcPr calcId="145621"/>
</workbook>
</file>

<file path=xl/calcChain.xml><?xml version="1.0" encoding="utf-8"?>
<calcChain xmlns="http://schemas.openxmlformats.org/spreadsheetml/2006/main">
  <c r="X59" i="4" l="1"/>
  <c r="D59" i="4"/>
  <c r="V59" i="4"/>
  <c r="G197" i="1"/>
  <c r="AD12" i="4" l="1"/>
  <c r="AD15" i="4"/>
  <c r="AD18" i="4"/>
  <c r="AD21" i="4"/>
  <c r="AD24" i="4"/>
  <c r="AD27" i="4"/>
  <c r="AD30" i="4"/>
  <c r="AD33" i="4"/>
  <c r="AD36" i="4"/>
  <c r="AD39" i="4"/>
  <c r="AD42" i="4"/>
  <c r="AD45" i="4"/>
  <c r="AD48" i="4"/>
  <c r="AD51" i="4"/>
  <c r="AD54" i="4"/>
  <c r="AD9" i="4"/>
  <c r="F193" i="1" l="1"/>
  <c r="F194" i="1"/>
  <c r="F192" i="1"/>
  <c r="F191" i="1"/>
  <c r="F188" i="1"/>
  <c r="F69" i="1" l="1"/>
  <c r="F68" i="1"/>
  <c r="G68" i="1" s="1"/>
  <c r="K63" i="1"/>
  <c r="E28" i="1"/>
  <c r="G28" i="1" s="1"/>
  <c r="E27" i="1"/>
  <c r="F27" i="1"/>
  <c r="F24" i="1"/>
  <c r="G24" i="1" s="1"/>
  <c r="H194" i="1"/>
  <c r="H193" i="1"/>
  <c r="H192" i="1"/>
  <c r="H191" i="1"/>
  <c r="H188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69" i="1"/>
  <c r="H166" i="1"/>
  <c r="H165" i="1"/>
  <c r="H164" i="1"/>
  <c r="H163" i="1"/>
  <c r="H162" i="1"/>
  <c r="H161" i="1"/>
  <c r="H160" i="1"/>
  <c r="H159" i="1"/>
  <c r="H158" i="1"/>
  <c r="H157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1" i="1"/>
  <c r="H70" i="1"/>
  <c r="H69" i="1"/>
  <c r="H68" i="1"/>
  <c r="H65" i="1"/>
  <c r="H64" i="1"/>
  <c r="H63" i="1"/>
  <c r="H60" i="1"/>
  <c r="H59" i="1"/>
  <c r="H58" i="1"/>
  <c r="H57" i="1"/>
  <c r="H56" i="1"/>
  <c r="H55" i="1"/>
  <c r="H54" i="1"/>
  <c r="H51" i="1"/>
  <c r="H50" i="1"/>
  <c r="H49" i="1"/>
  <c r="H46" i="1"/>
  <c r="H43" i="1"/>
  <c r="H42" i="1"/>
  <c r="H41" i="1"/>
  <c r="H40" i="1"/>
  <c r="H39" i="1"/>
  <c r="H36" i="1"/>
  <c r="H35" i="1"/>
  <c r="H34" i="1"/>
  <c r="H33" i="1"/>
  <c r="H32" i="1"/>
  <c r="H31" i="1"/>
  <c r="H28" i="1"/>
  <c r="H27" i="1"/>
  <c r="H26" i="1"/>
  <c r="H25" i="1"/>
  <c r="H24" i="1"/>
  <c r="H23" i="1"/>
  <c r="H22" i="1"/>
  <c r="H21" i="1"/>
  <c r="H20" i="1"/>
  <c r="H19" i="1"/>
  <c r="H16" i="1"/>
  <c r="H15" i="1"/>
  <c r="H10" i="1"/>
  <c r="H11" i="1"/>
  <c r="H12" i="1"/>
  <c r="H9" i="1"/>
  <c r="J194" i="1"/>
  <c r="J193" i="1"/>
  <c r="J192" i="1"/>
  <c r="J191" i="1"/>
  <c r="J188" i="1"/>
  <c r="J179" i="1"/>
  <c r="J180" i="1"/>
  <c r="J181" i="1"/>
  <c r="J182" i="1"/>
  <c r="J183" i="1"/>
  <c r="J184" i="1"/>
  <c r="J185" i="1"/>
  <c r="J178" i="1"/>
  <c r="J177" i="1"/>
  <c r="J176" i="1"/>
  <c r="J175" i="1"/>
  <c r="J174" i="1"/>
  <c r="J173" i="1"/>
  <c r="J172" i="1"/>
  <c r="J171" i="1"/>
  <c r="J170" i="1"/>
  <c r="J169" i="1"/>
  <c r="J158" i="1"/>
  <c r="J159" i="1"/>
  <c r="J160" i="1"/>
  <c r="J161" i="1"/>
  <c r="J162" i="1"/>
  <c r="J163" i="1"/>
  <c r="J164" i="1"/>
  <c r="J165" i="1"/>
  <c r="J166" i="1"/>
  <c r="J157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0" i="1"/>
  <c r="J69" i="1"/>
  <c r="J68" i="1"/>
  <c r="J65" i="1"/>
  <c r="J64" i="1"/>
  <c r="J63" i="1"/>
  <c r="J60" i="1"/>
  <c r="J59" i="1"/>
  <c r="J58" i="1"/>
  <c r="J57" i="1"/>
  <c r="J56" i="1"/>
  <c r="J55" i="1"/>
  <c r="J54" i="1"/>
  <c r="J51" i="1"/>
  <c r="J50" i="1"/>
  <c r="J49" i="1"/>
  <c r="J46" i="1"/>
  <c r="J43" i="1"/>
  <c r="J42" i="1"/>
  <c r="J41" i="1"/>
  <c r="J40" i="1"/>
  <c r="J39" i="1"/>
  <c r="J32" i="1"/>
  <c r="J33" i="1"/>
  <c r="J34" i="1"/>
  <c r="J35" i="1"/>
  <c r="J36" i="1"/>
  <c r="J31" i="1"/>
  <c r="J26" i="1"/>
  <c r="J27" i="1"/>
  <c r="J25" i="1"/>
  <c r="J24" i="1"/>
  <c r="J23" i="1"/>
  <c r="J22" i="1"/>
  <c r="J21" i="1"/>
  <c r="J20" i="1"/>
  <c r="J19" i="1"/>
  <c r="J16" i="1"/>
  <c r="J15" i="1"/>
  <c r="J10" i="1"/>
  <c r="J11" i="1"/>
  <c r="J12" i="1"/>
  <c r="J9" i="1"/>
  <c r="A5" i="4"/>
  <c r="B54" i="4"/>
  <c r="B51" i="4"/>
  <c r="B48" i="4"/>
  <c r="B45" i="4"/>
  <c r="B42" i="4"/>
  <c r="B39" i="4"/>
  <c r="B36" i="4"/>
  <c r="B33" i="4"/>
  <c r="B30" i="4"/>
  <c r="B27" i="4"/>
  <c r="B24" i="4"/>
  <c r="B21" i="4"/>
  <c r="B18" i="4"/>
  <c r="A54" i="4"/>
  <c r="A51" i="4"/>
  <c r="A48" i="4"/>
  <c r="A45" i="4"/>
  <c r="A42" i="4"/>
  <c r="A39" i="4"/>
  <c r="A36" i="4"/>
  <c r="A33" i="4"/>
  <c r="A30" i="4"/>
  <c r="A27" i="4"/>
  <c r="A24" i="4"/>
  <c r="A21" i="4"/>
  <c r="A18" i="4"/>
  <c r="B15" i="4"/>
  <c r="A15" i="4"/>
  <c r="B12" i="4"/>
  <c r="A12" i="4"/>
  <c r="B9" i="4"/>
  <c r="A9" i="4"/>
  <c r="G192" i="1"/>
  <c r="G193" i="1"/>
  <c r="G194" i="1"/>
  <c r="G191" i="1"/>
  <c r="G170" i="1"/>
  <c r="G173" i="1"/>
  <c r="G174" i="1"/>
  <c r="G178" i="1"/>
  <c r="G179" i="1"/>
  <c r="G183" i="1"/>
  <c r="G184" i="1"/>
  <c r="G185" i="1"/>
  <c r="G169" i="1"/>
  <c r="G158" i="1"/>
  <c r="G160" i="1"/>
  <c r="G161" i="1"/>
  <c r="G162" i="1"/>
  <c r="G163" i="1"/>
  <c r="G164" i="1"/>
  <c r="G165" i="1"/>
  <c r="G166" i="1"/>
  <c r="G157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3" i="1"/>
  <c r="G114" i="1"/>
  <c r="G115" i="1"/>
  <c r="G116" i="1"/>
  <c r="G117" i="1"/>
  <c r="G118" i="1"/>
  <c r="G119" i="1"/>
  <c r="G120" i="1"/>
  <c r="G121" i="1"/>
  <c r="G122" i="1"/>
  <c r="G123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9" i="1"/>
  <c r="G140" i="1"/>
  <c r="G142" i="1"/>
  <c r="G143" i="1"/>
  <c r="G145" i="1"/>
  <c r="G146" i="1"/>
  <c r="G147" i="1"/>
  <c r="G148" i="1"/>
  <c r="G149" i="1"/>
  <c r="G150" i="1"/>
  <c r="G152" i="1"/>
  <c r="G153" i="1"/>
  <c r="G95" i="1"/>
  <c r="G75" i="1"/>
  <c r="G76" i="1"/>
  <c r="G77" i="1"/>
  <c r="G78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70" i="1"/>
  <c r="G64" i="1"/>
  <c r="G65" i="1"/>
  <c r="G63" i="1"/>
  <c r="G55" i="1"/>
  <c r="G56" i="1"/>
  <c r="G57" i="1"/>
  <c r="G58" i="1"/>
  <c r="G59" i="1"/>
  <c r="G60" i="1"/>
  <c r="G54" i="1"/>
  <c r="G50" i="1"/>
  <c r="G51" i="1"/>
  <c r="G49" i="1"/>
  <c r="G46" i="1"/>
  <c r="G45" i="1" s="1"/>
  <c r="D24" i="4" s="1"/>
  <c r="G40" i="1"/>
  <c r="G41" i="1"/>
  <c r="G42" i="1"/>
  <c r="G43" i="1"/>
  <c r="G39" i="1"/>
  <c r="G32" i="1"/>
  <c r="G33" i="1"/>
  <c r="G34" i="1"/>
  <c r="G35" i="1"/>
  <c r="G36" i="1"/>
  <c r="G31" i="1"/>
  <c r="G20" i="1"/>
  <c r="G21" i="1"/>
  <c r="G22" i="1"/>
  <c r="G23" i="1"/>
  <c r="G25" i="1"/>
  <c r="G26" i="1"/>
  <c r="G19" i="1"/>
  <c r="G16" i="1"/>
  <c r="G15" i="1"/>
  <c r="G10" i="1"/>
  <c r="G11" i="1"/>
  <c r="G12" i="1"/>
  <c r="G9" i="1"/>
  <c r="G74" i="1"/>
  <c r="F79" i="1"/>
  <c r="G79" i="1" s="1"/>
  <c r="F159" i="1"/>
  <c r="G159" i="1" s="1"/>
  <c r="G151" i="1"/>
  <c r="G27" i="1"/>
  <c r="G188" i="1"/>
  <c r="G187" i="1" s="1"/>
  <c r="D51" i="4" s="1"/>
  <c r="F181" i="1"/>
  <c r="G181" i="1" s="1"/>
  <c r="F180" i="1"/>
  <c r="G180" i="1" s="1"/>
  <c r="F177" i="1"/>
  <c r="G177" i="1" s="1"/>
  <c r="F176" i="1"/>
  <c r="G176" i="1" s="1"/>
  <c r="F175" i="1"/>
  <c r="G175" i="1" s="1"/>
  <c r="F172" i="1"/>
  <c r="G172" i="1" s="1"/>
  <c r="F171" i="1"/>
  <c r="G171" i="1" s="1"/>
  <c r="F154" i="1"/>
  <c r="G154" i="1" s="1"/>
  <c r="G69" i="1"/>
  <c r="E71" i="1"/>
  <c r="G71" i="1" s="1"/>
  <c r="E112" i="1"/>
  <c r="J112" i="1" s="1"/>
  <c r="F124" i="1"/>
  <c r="G124" i="1" s="1"/>
  <c r="G137" i="1"/>
  <c r="F138" i="1"/>
  <c r="G138" i="1" s="1"/>
  <c r="F141" i="1"/>
  <c r="G141" i="1" s="1"/>
  <c r="F144" i="1"/>
  <c r="G144" i="1" s="1"/>
  <c r="G190" i="1" l="1"/>
  <c r="D54" i="4" s="1"/>
  <c r="K14" i="1"/>
  <c r="J28" i="1"/>
  <c r="G112" i="1"/>
  <c r="G94" i="1" s="1"/>
  <c r="D42" i="4" s="1"/>
  <c r="G48" i="1"/>
  <c r="D27" i="4" s="1"/>
  <c r="G14" i="1"/>
  <c r="K73" i="1"/>
  <c r="K48" i="1"/>
  <c r="G53" i="1"/>
  <c r="D30" i="4" s="1"/>
  <c r="K8" i="1"/>
  <c r="G67" i="1"/>
  <c r="D36" i="4" s="1"/>
  <c r="G156" i="1"/>
  <c r="D45" i="4" s="1"/>
  <c r="K94" i="1"/>
  <c r="K168" i="1"/>
  <c r="G38" i="1"/>
  <c r="D21" i="4" s="1"/>
  <c r="K18" i="1"/>
  <c r="K30" i="1"/>
  <c r="K38" i="1"/>
  <c r="K45" i="1"/>
  <c r="K53" i="1"/>
  <c r="K62" i="1"/>
  <c r="K187" i="1"/>
  <c r="G30" i="1"/>
  <c r="D18" i="4" s="1"/>
  <c r="G62" i="1"/>
  <c r="D33" i="4" s="1"/>
  <c r="G73" i="1"/>
  <c r="D39" i="4" s="1"/>
  <c r="K156" i="1"/>
  <c r="K190" i="1"/>
  <c r="G18" i="1"/>
  <c r="D15" i="4" s="1"/>
  <c r="Z52" i="4"/>
  <c r="AB52" i="4"/>
  <c r="V25" i="4"/>
  <c r="T25" i="4"/>
  <c r="R25" i="4"/>
  <c r="G168" i="1"/>
  <c r="D48" i="4" s="1"/>
  <c r="J71" i="1"/>
  <c r="K67" i="1" s="1"/>
  <c r="G8" i="1"/>
  <c r="D9" i="4" s="1"/>
  <c r="X34" i="4" l="1"/>
  <c r="P46" i="4"/>
  <c r="D12" i="4"/>
  <c r="P40" i="4"/>
  <c r="N19" i="4"/>
  <c r="L22" i="4"/>
  <c r="X37" i="4"/>
  <c r="X31" i="4"/>
  <c r="X28" i="4"/>
  <c r="L46" i="4"/>
  <c r="T40" i="4"/>
  <c r="V37" i="4"/>
  <c r="Z37" i="4"/>
  <c r="V28" i="4"/>
  <c r="V58" i="4" s="1"/>
  <c r="Z28" i="4"/>
  <c r="P22" i="4"/>
  <c r="N22" i="4"/>
  <c r="L19" i="4"/>
  <c r="H19" i="4"/>
  <c r="J19" i="4"/>
  <c r="L40" i="4"/>
  <c r="V31" i="4"/>
  <c r="N40" i="4"/>
  <c r="Z31" i="4"/>
  <c r="Z34" i="4"/>
  <c r="R22" i="4"/>
  <c r="F10" i="4"/>
  <c r="G196" i="1"/>
  <c r="V34" i="4"/>
  <c r="T46" i="4"/>
  <c r="T34" i="4"/>
  <c r="T58" i="4" s="1"/>
  <c r="T59" i="4" s="1"/>
  <c r="N46" i="4"/>
  <c r="V40" i="4"/>
  <c r="R40" i="4"/>
  <c r="R46" i="4"/>
  <c r="N55" i="4"/>
  <c r="J55" i="4"/>
  <c r="V55" i="4"/>
  <c r="Z55" i="4"/>
  <c r="R55" i="4"/>
  <c r="H55" i="4"/>
  <c r="X55" i="4"/>
  <c r="P55" i="4"/>
  <c r="T55" i="4"/>
  <c r="L55" i="4"/>
  <c r="AB55" i="4"/>
  <c r="F55" i="4"/>
  <c r="T49" i="4"/>
  <c r="P49" i="4"/>
  <c r="N49" i="4"/>
  <c r="V49" i="4"/>
  <c r="R49" i="4"/>
  <c r="Z43" i="4"/>
  <c r="AB43" i="4"/>
  <c r="AB58" i="4" s="1"/>
  <c r="AB59" i="4" s="1"/>
  <c r="H16" i="4"/>
  <c r="F16" i="4"/>
  <c r="H59" i="4" l="1"/>
  <c r="H58" i="4"/>
  <c r="Z58" i="4"/>
  <c r="Z59" i="4" s="1"/>
  <c r="X58" i="4"/>
  <c r="N58" i="4"/>
  <c r="N59" i="4" s="1"/>
  <c r="R58" i="4"/>
  <c r="R59" i="4" s="1"/>
  <c r="J58" i="4"/>
  <c r="J59" i="4" s="1"/>
  <c r="J60" i="4" s="1"/>
  <c r="L58" i="4"/>
  <c r="P58" i="4"/>
  <c r="P59" i="4" s="1"/>
  <c r="P60" i="4" s="1"/>
  <c r="F13" i="4"/>
  <c r="F58" i="4" s="1"/>
  <c r="F59" i="4" s="1"/>
  <c r="D58" i="4"/>
  <c r="N60" i="4"/>
  <c r="R60" i="4"/>
  <c r="G198" i="1"/>
  <c r="H60" i="4"/>
  <c r="AB60" i="4"/>
  <c r="X60" i="4"/>
  <c r="L59" i="4" l="1"/>
  <c r="L60" i="4" s="1"/>
  <c r="K58" i="4" s="1"/>
  <c r="C51" i="4"/>
  <c r="C24" i="4"/>
  <c r="C42" i="4"/>
  <c r="C39" i="4"/>
  <c r="C18" i="4"/>
  <c r="C21" i="4"/>
  <c r="C36" i="4"/>
  <c r="C30" i="4"/>
  <c r="C27" i="4"/>
  <c r="C9" i="4"/>
  <c r="C15" i="4"/>
  <c r="C33" i="4"/>
  <c r="C45" i="4"/>
  <c r="C48" i="4"/>
  <c r="C54" i="4"/>
  <c r="C12" i="4"/>
  <c r="D61" i="4"/>
  <c r="AA58" i="4" s="1"/>
  <c r="F60" i="4"/>
  <c r="Z60" i="4"/>
  <c r="Y58" i="4" s="1"/>
  <c r="V60" i="4"/>
  <c r="T60" i="4"/>
  <c r="S58" i="4" s="1"/>
  <c r="U58" i="4" l="1"/>
  <c r="M58" i="4"/>
  <c r="G58" i="4"/>
  <c r="I58" i="4"/>
  <c r="O58" i="4"/>
  <c r="Q58" i="4"/>
  <c r="W58" i="4"/>
  <c r="F61" i="4"/>
  <c r="H61" i="4" s="1"/>
  <c r="J61" i="4" s="1"/>
  <c r="L61" i="4" s="1"/>
  <c r="N61" i="4" s="1"/>
  <c r="P61" i="4" s="1"/>
  <c r="R61" i="4" s="1"/>
  <c r="T61" i="4" s="1"/>
  <c r="V61" i="4" s="1"/>
  <c r="X61" i="4" s="1"/>
  <c r="Z61" i="4" s="1"/>
  <c r="AB61" i="4" s="1"/>
  <c r="E58" i="4"/>
  <c r="AD57" i="4" l="1"/>
  <c r="E61" i="4"/>
  <c r="G61" i="4" s="1"/>
  <c r="I61" i="4" s="1"/>
  <c r="K61" i="4" s="1"/>
  <c r="M61" i="4" s="1"/>
  <c r="O61" i="4" s="1"/>
  <c r="Q61" i="4" s="1"/>
  <c r="S61" i="4" s="1"/>
  <c r="U61" i="4" s="1"/>
  <c r="W61" i="4" s="1"/>
  <c r="Y61" i="4" s="1"/>
  <c r="AA61" i="4" s="1"/>
  <c r="AD60" i="4" l="1"/>
</calcChain>
</file>

<file path=xl/sharedStrings.xml><?xml version="1.0" encoding="utf-8"?>
<sst xmlns="http://schemas.openxmlformats.org/spreadsheetml/2006/main" count="724" uniqueCount="528">
  <si>
    <t>ITEM</t>
  </si>
  <si>
    <t>SERVIÇOS PRELIMINARES E ADMINISTRATIVOS</t>
  </si>
  <si>
    <t>73948/016 - SINAPI</t>
  </si>
  <si>
    <t>1.01</t>
  </si>
  <si>
    <t>LIMPEZA MANUAL DO TERRENO</t>
  </si>
  <si>
    <t>M2</t>
  </si>
  <si>
    <t>74077/001 - SINAPI</t>
  </si>
  <si>
    <t>1.02</t>
  </si>
  <si>
    <t>LOCACAO CONVENCIONAL DE OBRA, ATRAVÉS DE GABARITO DE TABUAS CORRIDAS PONTALETADAS, SEM REAPROVEITAMENTO</t>
  </si>
  <si>
    <t>74242/001 - SINAPI</t>
  </si>
  <si>
    <t>1.03</t>
  </si>
  <si>
    <t>BARRACAO DE OBRA EM CHAPA DE MADEIRA COMPENSADA COM BANHEIRO, COBERTURA EM FIBROCIMENTO 4 MM, INCLUSO INSTALACOES HIDRO-SANITARIAS E ELETRICAS</t>
  </si>
  <si>
    <t>74209/001 - SINAPI</t>
  </si>
  <si>
    <t>1.04</t>
  </si>
  <si>
    <t>MOVIMENTO DE TERRA</t>
  </si>
  <si>
    <t>M3</t>
  </si>
  <si>
    <t>73904/001 - SINAPI</t>
  </si>
  <si>
    <t>ATERRO APILOADO(MANUAL) EM CAMADAS DE 20 CM COM MATERIAL DE EMPRÉSTIMO (ATERRO DO CAIXÃO)</t>
  </si>
  <si>
    <t>INFRA-ESTRUTURA</t>
  </si>
  <si>
    <t>3.01</t>
  </si>
  <si>
    <t>3.02</t>
  </si>
  <si>
    <t>3.03</t>
  </si>
  <si>
    <t>74254/002 - SINAPI</t>
  </si>
  <si>
    <t>3.04</t>
  </si>
  <si>
    <t xml:space="preserve">ARMACAO ACO CA-50/60, DIAM. 6,3 (1/4) À 12,5MM(1/2) -FORNECIMENTO/ CORTE(PERDA DE 10%) / DOBRA / COLOCAÇÃO. </t>
  </si>
  <si>
    <t>KG</t>
  </si>
  <si>
    <t>3.05</t>
  </si>
  <si>
    <t>73361 - SINAPI</t>
  </si>
  <si>
    <t>3.06</t>
  </si>
  <si>
    <t>CONCRETO CICLOPICO C/CONC DOS RAC 10 MPA 30% PED DE MAO INCLTRANSP HORIZ C/CARRINHOS ATE 20M E COLOCACAO.</t>
  </si>
  <si>
    <t>3.07</t>
  </si>
  <si>
    <t>3.08</t>
  </si>
  <si>
    <t>3.09</t>
  </si>
  <si>
    <t>SUPER-ESTRUTURA</t>
  </si>
  <si>
    <t>74138/003 - SINAPI</t>
  </si>
  <si>
    <t>4.01</t>
  </si>
  <si>
    <t>4.02</t>
  </si>
  <si>
    <t>4.04</t>
  </si>
  <si>
    <t xml:space="preserve">ARMACAO ACO CA-50, DIAM. 6,3 (1/4) À 12,5MM(1/2) -FORNECIMENTO/ CORTE(PERDA DE 10%) / DOBRA / COLOCAÇÃO.  </t>
  </si>
  <si>
    <t>07393 - ORSE</t>
  </si>
  <si>
    <t>4.05</t>
  </si>
  <si>
    <t>74200/001 - SINAPI</t>
  </si>
  <si>
    <t>4.06</t>
  </si>
  <si>
    <t>VERGAS E CONTRAVERGAS 10X10CM EM CONCRETO PRÉ-MOLDADO FCK=20MPA (PREPARO COM BETONEIRA) AÇO CA60, BITOLA FINA, INCLUSIVE FORMAS TABUA 3A.</t>
  </si>
  <si>
    <t>M</t>
  </si>
  <si>
    <t>PAVIMENTAÇÃO</t>
  </si>
  <si>
    <t>5.01</t>
  </si>
  <si>
    <t>73850/001 - SINAPI</t>
  </si>
  <si>
    <t>5.02</t>
  </si>
  <si>
    <t>RODAPE EM GRANILITE, ALTURA 10CM</t>
  </si>
  <si>
    <t>74192/001 - SINAPI</t>
  </si>
  <si>
    <t>5.03</t>
  </si>
  <si>
    <t>SOLEIRA DE GRANILITE PRE-MOLDADA, LARGURA 15CM, ASSENTADA COM ARGAMASSA DE CIMENTO E AREIA</t>
  </si>
  <si>
    <t>73919/003 - SINAPI</t>
  </si>
  <si>
    <t>5.04</t>
  </si>
  <si>
    <t>CONTRAPISO EM ARGAMASSA TRACO 1:4 (CIMENTO E AREIA), ESPESSURA 4CM, PREPARO MANUAL</t>
  </si>
  <si>
    <t>73465 - SINAPI</t>
  </si>
  <si>
    <t>5.05</t>
  </si>
  <si>
    <t>PISO CIMENTADO E=1,5CM C/ARGAMASSA 1:3 CIMENTO AREIA ALISADO COLHER SOBRE BASE EXISTENTE.</t>
  </si>
  <si>
    <t>PAREDES E PAINÉIS</t>
  </si>
  <si>
    <t>73982/001 - SINAPI</t>
  </si>
  <si>
    <t>6.01</t>
  </si>
  <si>
    <t>ALVENARIA EM TIJOLO CERÂMICO FURADO 10X20X20 CM, 1/2 VEZ, ASSENTADO EM ARGAMASSA TRACO 1:2:8 (CIMENTO, CAL E AREIA), JUNTAS 12MM</t>
  </si>
  <si>
    <t>REVESTIMENTO</t>
  </si>
  <si>
    <t>5974 - SINAPI</t>
  </si>
  <si>
    <t>7.01</t>
  </si>
  <si>
    <t>CHAPISCO EM PAREDES TRACO 1:4 (CIMENTO E AREIA), ESPESSURA 0,5CM, PREPARO MECANICO</t>
  </si>
  <si>
    <t>7.02</t>
  </si>
  <si>
    <t>7.03</t>
  </si>
  <si>
    <t>EMASSAMENTO E PINTURA</t>
  </si>
  <si>
    <t>73955/002 - SINAPI</t>
  </si>
  <si>
    <t>8.01</t>
  </si>
  <si>
    <t>EMASSAMENTO COM MASSA LATEX PVA PARA AMBIENTES INTERNOS, DUAS DEMAOS</t>
  </si>
  <si>
    <t>73750/001 - SINAPI</t>
  </si>
  <si>
    <t>8.02</t>
  </si>
  <si>
    <t>PINTURA LATEX PVA AMBIENTES INTERNOS, DUAS DEMAOS</t>
  </si>
  <si>
    <t>74134/002 - SINAPI</t>
  </si>
  <si>
    <t>8.03</t>
  </si>
  <si>
    <t>EMASSAMENTO COM MASSA ACRILICA PARA AMBIENTES INTERNOS/EXTERNOS, DUAS DEMÃOS</t>
  </si>
  <si>
    <t>73954/002 - SINAPI</t>
  </si>
  <si>
    <t>8.04</t>
  </si>
  <si>
    <t>PINTURA LATEX ACRILICA AMBIENTES INTERNOS/EXTERNOS, DUAS DEMAOS</t>
  </si>
  <si>
    <t>73751/001 - SINAPI</t>
  </si>
  <si>
    <t>8.05</t>
  </si>
  <si>
    <t>FUNDO SELADOR PVA AMBIENTES INTERNOS, UMA DEMAO</t>
  </si>
  <si>
    <t>COBERTURA</t>
  </si>
  <si>
    <t>9.01</t>
  </si>
  <si>
    <t>9.02</t>
  </si>
  <si>
    <t>9.03</t>
  </si>
  <si>
    <t>74088/001 - SINAPI</t>
  </si>
  <si>
    <t xml:space="preserve">TELHAMENTO COM TELHA DE FIBROCIMENTO ONDULADA, ESPESSURA 6MM, INCLUSO JUNTAS DE VEDACAO E ACESSORIOS DE FIXACAO </t>
  </si>
  <si>
    <t>ESQUADRIAS</t>
  </si>
  <si>
    <t>10.01</t>
  </si>
  <si>
    <t>10.02</t>
  </si>
  <si>
    <t>10.03</t>
  </si>
  <si>
    <t>10.04</t>
  </si>
  <si>
    <t>MERC.</t>
  </si>
  <si>
    <t>7340 - ORSE</t>
  </si>
  <si>
    <t>GRADE DE PROTEÇÃO C/ BARRA HORIZONTAL CHATA DE 1 1/2" X 5/16" E BARRA VERTICAL REDONDA DE 5/8" A CADA 10CM</t>
  </si>
  <si>
    <t xml:space="preserve">UN </t>
  </si>
  <si>
    <t>INSTALAÇÕES CONTRA INCÊNDIO E PÂNICO</t>
  </si>
  <si>
    <t>11.01</t>
  </si>
  <si>
    <t>TUBO DE AÇO GALVANIZADO, SEM CONEXÕES COM COSTURA Ø65MM (2.1/2") - FORNECIMENTO E INSTALACAO</t>
  </si>
  <si>
    <t>72303 - SINAPI</t>
  </si>
  <si>
    <t>11.02</t>
  </si>
  <si>
    <t>COTOVELO DE AÇO GALVANIZADO 2.1/2" - FORNECIMENTO E INSTALAÇÃO</t>
  </si>
  <si>
    <t>72715 - SINAPI</t>
  </si>
  <si>
    <t>11.03</t>
  </si>
  <si>
    <t>TE DE ACO GALVANIZADO 2.1/2" - FORNECIMENTO E INSTALACAO</t>
  </si>
  <si>
    <t>1517 - ORSE</t>
  </si>
  <si>
    <t>11.04</t>
  </si>
  <si>
    <t>FORNECIMENTO E INSTALAÇÃO DE ADAPTADOR STORZ PARA ENGATE RÁPIDO - 2 1/2" x 1 1/2" (INCÊNDIO)</t>
  </si>
  <si>
    <t>01510 - ORSE</t>
  </si>
  <si>
    <t>11.05</t>
  </si>
  <si>
    <t>FORNECIMENTO E INSTALAÇÃO DE ADAPTADOR STORZ PARA ENGATE RÁPIDO 2 1/2" X 2 1/2" COM TAMPÃO E CORRENTE (INCÊNDIO)</t>
  </si>
  <si>
    <t>11.06</t>
  </si>
  <si>
    <t>CHAVE PARA ENGATE RÁPIDO STORZ 2 1/2" (INCÊNDIO)</t>
  </si>
  <si>
    <t>4208 - SINAPI</t>
  </si>
  <si>
    <t>11.07</t>
  </si>
  <si>
    <t>NIPEL FERRO GALV ROSCA 2.1/2"</t>
  </si>
  <si>
    <t>74169/001 - SINAPI</t>
  </si>
  <si>
    <t>11.08</t>
  </si>
  <si>
    <t xml:space="preserve">REGISTRO/VALVULA GLOBO ANGULAR 45 GRAUS EM LATAO PARA HIDRANTES DE INCÊNDIO PREDIAL DN 2.1/2" - FORNECIMENTO E INSTALACAO </t>
  </si>
  <si>
    <t>74178/001 - SINAPI</t>
  </si>
  <si>
    <t>11.09</t>
  </si>
  <si>
    <t>REGISTRO GAVETA 4" BRUTO LATAO - FORNECIMENTO E INSTALACAO</t>
  </si>
  <si>
    <t>08940 - ORSE</t>
  </si>
  <si>
    <t>11.10</t>
  </si>
  <si>
    <t>73865/001 - SINAPI</t>
  </si>
  <si>
    <t>11.11</t>
  </si>
  <si>
    <t>APLICAÇÃO DE PRIMER</t>
  </si>
  <si>
    <t>6067 - SINAPI</t>
  </si>
  <si>
    <t>11.12</t>
  </si>
  <si>
    <t>PINTURA EM ESMALTE SINTÉTICO 2 DEMÃOS NA COR VERMELHA</t>
  </si>
  <si>
    <t>11.13</t>
  </si>
  <si>
    <t>CAIXA DE INCENDIO/ABRIGO DE MANGUEIRAS EM CHAPA SAE 1020 LAMINADA A FRIO, PORTA C/ VENTILACAO E VISOR SUPORTE 1/2 LUA P/ MANG, EXTERNA, INSCR. INCENDIO 75 X 45 X 17CM</t>
  </si>
  <si>
    <t>11.14</t>
  </si>
  <si>
    <t>MANGUEIRA DE INCENDIO C/ CAPA SIMPLES TECIDA FIO POLIESTER TUBO INT BORRACHA SINT ABNT TP 1 P/ INST PR, COMP C/ UNIOES E EMPAT INT LATAO C/ ENG RAP E ANEIS EXP P/ EMP MANG COBRE D = 2 1/2 L = 30M</t>
  </si>
  <si>
    <t>11.15</t>
  </si>
  <si>
    <t>11.16</t>
  </si>
  <si>
    <t>72554 - SINAPI</t>
  </si>
  <si>
    <t>11.17</t>
  </si>
  <si>
    <t>EXTINTOR DE CO2 - 6KG FORNECIMENTO E INSTALACAO</t>
  </si>
  <si>
    <t>11.18</t>
  </si>
  <si>
    <t>00559 - ORSE</t>
  </si>
  <si>
    <t>11.19</t>
  </si>
  <si>
    <t>LUMINÁRIA DE EMERGÊNCIA 20W</t>
  </si>
  <si>
    <t>73916/003 - SINAPI</t>
  </si>
  <si>
    <t xml:space="preserve">SINALIZAÇÃO DE EMERGÊNCIA </t>
  </si>
  <si>
    <t>INSTALAÇÕES ELÉTRICAS, TELEFONE E LÓGICA</t>
  </si>
  <si>
    <t>00796 - ORSE</t>
  </si>
  <si>
    <t>12.01</t>
  </si>
  <si>
    <t>TOMADA PARA LÓGICA, COM CAIXA PVC, EMBUTIDA</t>
  </si>
  <si>
    <t>00478 - ORSE</t>
  </si>
  <si>
    <t>12.02</t>
  </si>
  <si>
    <t>TOMADA 2P + T, ABNT, DE EMBUTIR, 10 A, COM PLACA EM PVC</t>
  </si>
  <si>
    <t>12.04</t>
  </si>
  <si>
    <t>72331 - SINAPI</t>
  </si>
  <si>
    <t>12.07</t>
  </si>
  <si>
    <t>INTERRUPTOR SIMPLES - 1 TECLA - FORNECIMENTO E INSTALACAO</t>
  </si>
  <si>
    <t>72332 - SINAPI</t>
  </si>
  <si>
    <t>12.08</t>
  </si>
  <si>
    <t>INTERRUPTOR SIMPLES - 2 TECLAS - FORNECIMENTO E INSTALACAO</t>
  </si>
  <si>
    <t>03403 - ORSE</t>
  </si>
  <si>
    <t>12.09</t>
  </si>
  <si>
    <t>INTERRUPTOR 03 SEÇÕES SIMPLES</t>
  </si>
  <si>
    <t>08896 - ORSE</t>
  </si>
  <si>
    <t>12.10</t>
  </si>
  <si>
    <t>CAIXA DE PASSAGEM PVC TIPO AQUATIC 15X15X8CM</t>
  </si>
  <si>
    <t>08895 - ORSE</t>
  </si>
  <si>
    <t>12.11</t>
  </si>
  <si>
    <t>CAIXA DE PASSAGEM PVC TIPO AQUATIC 30X30X10CM</t>
  </si>
  <si>
    <t>02797 - ORSE</t>
  </si>
  <si>
    <t>12.17</t>
  </si>
  <si>
    <t>CAIXA DE PASAGEM EM ALVENARIA DE TIJOLOS MACIÇOS ESP. =0,12M, DIM. INT. = 0,60 X 0,60 X 0,60M</t>
  </si>
  <si>
    <t>07138 - ORSE</t>
  </si>
  <si>
    <t>12.19</t>
  </si>
  <si>
    <t>FORNECIMENTO E LANÇAMENTO DE CABO UTP 4 PARES CAT 6</t>
  </si>
  <si>
    <t>73860/008 - SINAPI</t>
  </si>
  <si>
    <t>12.20</t>
  </si>
  <si>
    <t>CABO DE COBRE ISOLADO PVC RESISTENTE A CHAMA 450/750 V 2,5 MM2 FORNECIMENTO E INSTALACAO</t>
  </si>
  <si>
    <t>73860/009 - SINAPI</t>
  </si>
  <si>
    <t>12.21</t>
  </si>
  <si>
    <t>CABO DE COBRE ISOLADO PVC RESISTENTE A CHAMA 450/750 V 4,0 MM2 FORNECIMENTO E INSTALACAO</t>
  </si>
  <si>
    <t>09205 - ORSE</t>
  </si>
  <si>
    <t>12.24</t>
  </si>
  <si>
    <t>CABO DE COBRE ISOLADO EM EPR FLEXIVEL UNIPOLAR 10MM²  - 0,6Kv/1Kv/90°</t>
  </si>
  <si>
    <t>12.26</t>
  </si>
  <si>
    <t>12.27</t>
  </si>
  <si>
    <t>72934 - SINAPI</t>
  </si>
  <si>
    <t>12.28</t>
  </si>
  <si>
    <t>ELETRODUTO DE PVC FLEXIVEL CORRUGADO 20 MM FORNECIMENTO E INSTALACAO</t>
  </si>
  <si>
    <t>72935 - SINAPI</t>
  </si>
  <si>
    <t>12.29</t>
  </si>
  <si>
    <t>ELETRODUTO DE PVC FLEXIVEL CORRUGADO 25 MM FORNECIMENTO E INSTALACAO</t>
  </si>
  <si>
    <t>72936 - SINAPI</t>
  </si>
  <si>
    <t>12.30</t>
  </si>
  <si>
    <t>ELETRODUTO DE PVC FLEXIVEL CORRUGADO 32 MM FORNECIMENTO E INSTALACAO</t>
  </si>
  <si>
    <t>12.31</t>
  </si>
  <si>
    <t>12.32</t>
  </si>
  <si>
    <t>00354 - ORSE</t>
  </si>
  <si>
    <t>12.33</t>
  </si>
  <si>
    <t>ELETRODUTO PEAD, DIÂM = 32MM (1 1/2")</t>
  </si>
  <si>
    <t>12.34</t>
  </si>
  <si>
    <t>12.35</t>
  </si>
  <si>
    <t>12.37</t>
  </si>
  <si>
    <t>12.38</t>
  </si>
  <si>
    <t>QUADRO DE DISTRIBUIÇÃO DE EMBUTIR, COM BARRAMENTO, EM CHAPA DE AÇO, PARA ATÉ 12 DISJUNTORES PADRÃO EUROPEU (LINHA BRANCA), EXCLUSIVE DISJUNTORES</t>
  </si>
  <si>
    <t>74131/004 - SINAPI</t>
  </si>
  <si>
    <t>12.39</t>
  </si>
  <si>
    <t>QUADRO DE DISTRIBUIÇÃO DE EMBUTIR, COM BARRAMENTO, EM CHAPA DE AÇO, PARA ATÉ 18 DISJUNTORES PADRÃO EUROPEU (LINHA BRANCA), EXCLUSIVE DISJUNTORES</t>
  </si>
  <si>
    <t>12.40</t>
  </si>
  <si>
    <t>12.41</t>
  </si>
  <si>
    <t>12.42</t>
  </si>
  <si>
    <t>12.43</t>
  </si>
  <si>
    <t>12.44</t>
  </si>
  <si>
    <t>12.45</t>
  </si>
  <si>
    <t>12.46</t>
  </si>
  <si>
    <t>12.47</t>
  </si>
  <si>
    <t>12.48</t>
  </si>
  <si>
    <t>12.49</t>
  </si>
  <si>
    <t>74130/001 - SINAPI</t>
  </si>
  <si>
    <t>12.50</t>
  </si>
  <si>
    <t>DISJUNTOR TERMOMAGNETICO MONOPOLAR PADRAO NEMA (AMERICANO) 10 A 30A 240V , FORNECIMENTO E INSTALAÇÃO</t>
  </si>
  <si>
    <t>74130/005 - SINAPI</t>
  </si>
  <si>
    <t xml:space="preserve">DISJUNTOR TERMOMAGNETICO TRIPOLAR PADRAO NEMA (AMERICANO) 60 A 100A 240V, FORNECIMENTO E INSTALACAO </t>
  </si>
  <si>
    <t>09041 - ORSE</t>
  </si>
  <si>
    <t xml:space="preserve">DISPOSITIVO DE PROTEÇÃO CONTRA SURTO DE TENSÃO DPS 60KA - 275V </t>
  </si>
  <si>
    <t>02942 - ORSE</t>
  </si>
  <si>
    <t>FORNECIMENTO DE POSTE DUPLO T (DT) 11X600</t>
  </si>
  <si>
    <t>11837 - SINAPI</t>
  </si>
  <si>
    <t>GRAMPO LINHA VIVA, DE ALUMINIO CABO PRINCIPAL ( 10 - 120MM2) DERIVACAO (10 - 70MM2)</t>
  </si>
  <si>
    <t>379 - SINAPI</t>
  </si>
  <si>
    <t>ARRUELA QUADRADA ACO GALV D = 38MM ESP= 3MM DFURO= 18 MM</t>
  </si>
  <si>
    <t>PARAFUSO M16 (ROSCA MAQUINA D=16MM) X 250MM CAB QUADRADA - ZINCAGEM A FOGO</t>
  </si>
  <si>
    <t>439 - SINAPI</t>
  </si>
  <si>
    <t>PARAFUSO M16 (ROSCA MAQUINA D=16MM) X 300MM CAB QUADRADA - ZINCAGEM A FOGO</t>
  </si>
  <si>
    <t>02932 - ORSE</t>
  </si>
  <si>
    <t>FORNECIMENTO DE PINO DE TOPO P/ ISOLADOR 15 KV, 389MM</t>
  </si>
  <si>
    <t>02889 - ORSE</t>
  </si>
  <si>
    <t>FORNECIMENTO DE ISOLADOR DE PINO DE PORCELANA P/ 15 KV</t>
  </si>
  <si>
    <t>04138 - ORSE</t>
  </si>
  <si>
    <t>CONECTOR ESTRIBO PRESSÃO PARA CABO AL 4 CAA, FORNECIMENTO</t>
  </si>
  <si>
    <t>04008 - ORSE</t>
  </si>
  <si>
    <t>CONECTOR PARAFUSO FENDIDO 25 MM² - FORNECIMENTO</t>
  </si>
  <si>
    <t>72252 - SINAPI</t>
  </si>
  <si>
    <t xml:space="preserve">CABO DE COBRE NÚ SEÇÃO # 25MM2 </t>
  </si>
  <si>
    <t>04025 - ORSE</t>
  </si>
  <si>
    <t>CRUZETA EM CONCRETO ARMADO, TIPO "T", 1900MM - FORNECIMENTO</t>
  </si>
  <si>
    <t>4329 - SINAPI</t>
  </si>
  <si>
    <t>PARAFUSO DE BRONZE OU LATÃO ROSCA INTEIRA 1/2" X2"</t>
  </si>
  <si>
    <t>PORCA 1/2"</t>
  </si>
  <si>
    <t>ARRUELA LISA DE BRONZE OU LATÃO</t>
  </si>
  <si>
    <t>ARRUELA DE PRESSÃO 1/2" INOX</t>
  </si>
  <si>
    <t>02930 - ORSE</t>
  </si>
  <si>
    <t>FORNECIMENTO DE PÁRA-RAIO DE DISTRIBUIÇÃO POLIMÉRICO 12KV, C/ DESLIGAMENTO AUTOMÁTICO, RESIST. NÃO LINEAR</t>
  </si>
  <si>
    <t>13.01</t>
  </si>
  <si>
    <t>74165/001 - SINAPI</t>
  </si>
  <si>
    <t>TUBO PVC ESGOTO PREDIAL DN 40MM, INCLUSIVE CONEXOES - FORNECIMENTO E INSTALAÇÃO</t>
  </si>
  <si>
    <t>ATERRAMENTO - SPDA</t>
  </si>
  <si>
    <t>72254 - SINAPI</t>
  </si>
  <si>
    <t>14.01</t>
  </si>
  <si>
    <t xml:space="preserve">CABO DE COBRE NÚ, BITOLA 50MM² </t>
  </si>
  <si>
    <t>72253 - SINAPI</t>
  </si>
  <si>
    <t>14.02</t>
  </si>
  <si>
    <t>CABO DE COBRE NÚ 35MM²</t>
  </si>
  <si>
    <t>14.03</t>
  </si>
  <si>
    <t>ALICATE PARA MOLDE DE SOLDA EXOTÉRMICA COMPATÍVEL COM CADINHO DE GRAFITE</t>
  </si>
  <si>
    <t>14.04</t>
  </si>
  <si>
    <t>ACENDEDOR IGNITOR PARA SOLDA EXOTÉRMICA COM 12 PÇ</t>
  </si>
  <si>
    <t>68069 - SINAPI</t>
  </si>
  <si>
    <t>14.05</t>
  </si>
  <si>
    <t xml:space="preserve">HASTE DE TERRA , D=5/8"X3000MM. COPPERWELD </t>
  </si>
  <si>
    <t>72251 - SINAPI</t>
  </si>
  <si>
    <t>14.06</t>
  </si>
  <si>
    <t xml:space="preserve">CABO DE COBRE NÚ, BITOLA 16MM² </t>
  </si>
  <si>
    <t>14.07</t>
  </si>
  <si>
    <t>MOLDE PARA SOLDA EXOTERMICA TIPO "X" PARA CABO 35 MM²</t>
  </si>
  <si>
    <t>14.08</t>
  </si>
  <si>
    <t>MOLDE PARA SOLDA EXOTERMICA TIPO "T" PARA CABO 35 MM²</t>
  </si>
  <si>
    <t>14.09</t>
  </si>
  <si>
    <t>MOLDE SOLDA HASTE</t>
  </si>
  <si>
    <t>13294 - SINAPI</t>
  </si>
  <si>
    <t>14.10</t>
  </si>
  <si>
    <t>PARAFUSO SEXTAVADO ROSCA SOBERBA ZINCADO 3/8" X 80MM</t>
  </si>
  <si>
    <t>4718 - ORSE</t>
  </si>
  <si>
    <t>14.11</t>
  </si>
  <si>
    <t>CAIXA DE INSPEÇÃO EM PVC 300MM</t>
  </si>
  <si>
    <t>14.12</t>
  </si>
  <si>
    <t>CARTUCHO PARA SOLDA EXOTÉRMICA 90</t>
  </si>
  <si>
    <t>14.13</t>
  </si>
  <si>
    <t>SOLDA PARA CABO 35X16MM² OU CONECTOR 35X16MM²</t>
  </si>
  <si>
    <t>09051 - ORSE</t>
  </si>
  <si>
    <t>14.14</t>
  </si>
  <si>
    <t>CAIXA DE EQUALIZAÇÃO P/ATERRAMENTO 20X20X10CM DE SOBREPOR P/11 TERMINAIS DE PRESSÃO C/BARRAMENTO</t>
  </si>
  <si>
    <t>72315 - SINAPI</t>
  </si>
  <si>
    <t>14.15</t>
  </si>
  <si>
    <t>TERMINAL AÉREO EM AÇO GALVANIZADO COM BASE DE FIXAÇÃO H=30CM</t>
  </si>
  <si>
    <t>72262 - SINAPI</t>
  </si>
  <si>
    <t>14.16</t>
  </si>
  <si>
    <t xml:space="preserve">CONECTOR DE PRESSÃO PARA CABO 35MM² </t>
  </si>
  <si>
    <t>14.17</t>
  </si>
  <si>
    <t>PRESILHA PARA CABO</t>
  </si>
  <si>
    <t>15.01</t>
  </si>
  <si>
    <t>LIMPEZA DA OBRA</t>
  </si>
  <si>
    <t>9537+72209 - SINAPI</t>
  </si>
  <si>
    <t>LIMPEZA DA OBRA COM RETIRADA DE ENTULHO</t>
  </si>
  <si>
    <t>EXTINTOR DE PQS - 4KG FORNECIMENTO E INSTALAÇÃO</t>
  </si>
  <si>
    <t>PLACA DE OBRA EM CHAPA DE ACO GALVANIZADO 2,00X3,00M</t>
  </si>
  <si>
    <t>03954 - ORSE</t>
  </si>
  <si>
    <t>LUMINÁRIA CALHA SOBREPOR P/LAMP. FLUORESCENTE 2X40W, COMPLETA, INCL. REATOR PARTIDA RÁPIDA E LÂMPADAS</t>
  </si>
  <si>
    <t>02858 - ORSE</t>
  </si>
  <si>
    <t>FORNECIMENTO DE CHAVE FUSÍVEL 15KV - 100A, RUPTURA ASSIM. 10KA</t>
  </si>
  <si>
    <t>TERMINAL OU CONECTOR DE PRESSAO - PARA CABO 150MM2 - FORNECIMENTO E INSTALACAO</t>
  </si>
  <si>
    <t>PAINEL GERAL DE BAIXA TENSÃO (QDG) TIPO ARMÁRIO DE SOBREPOR 1080X1080X360MM - COM TAMPA FLANGE E CHAPA DE MONTAGEM BARRA DE COBRE DE 38,10 X 3,18 MM, SUPORTE EM ISOLADOR EPOXI DE 40MM</t>
  </si>
  <si>
    <t>72267 - SINAPI</t>
  </si>
  <si>
    <t>12.03</t>
  </si>
  <si>
    <t>12.05</t>
  </si>
  <si>
    <t>12.06</t>
  </si>
  <si>
    <t>12.12</t>
  </si>
  <si>
    <t>12.13</t>
  </si>
  <si>
    <t>12.14</t>
  </si>
  <si>
    <t>12.15</t>
  </si>
  <si>
    <t>12.16</t>
  </si>
  <si>
    <t>12.18</t>
  </si>
  <si>
    <t>12.22</t>
  </si>
  <si>
    <t>12.23</t>
  </si>
  <si>
    <t>12.25</t>
  </si>
  <si>
    <t>12.36</t>
  </si>
  <si>
    <t>00788 - ORSE</t>
  </si>
  <si>
    <t>TOMADA PARA TELEFONE, COM CAIXA PVC, EMBUTIDA</t>
  </si>
  <si>
    <t>12.51</t>
  </si>
  <si>
    <t>FORNECIMENTO E INSTALAÇÃO DE BLOCO DE CONEXÃO DE TELEFONE M10-P</t>
  </si>
  <si>
    <t>00765 - ORSE</t>
  </si>
  <si>
    <t>FORNECIMENTO E INSTALAÇÃO DE ELETROCALHA METÁLICA 50X50X3000M (REF. VALEMAM OU SIMILAR)</t>
  </si>
  <si>
    <t>73775/001 - SINAPI</t>
  </si>
  <si>
    <t>01516 - ORSE</t>
  </si>
  <si>
    <t>FORNECIMENTO E INSTALAÇÃO DE ESGUINCHO PARA MANGUEIRA DE INCENDIO 2 1/2"</t>
  </si>
  <si>
    <t>12.52</t>
  </si>
  <si>
    <t>12.53</t>
  </si>
  <si>
    <t xml:space="preserve">04291 - ORSE </t>
  </si>
  <si>
    <t>FORNECIMENTO DE SWITCH 48 PORTAS</t>
  </si>
  <si>
    <t>FORNECIMENTO DE PATCH PANEL 48 PORTAS</t>
  </si>
  <si>
    <t>09537 - ORSE</t>
  </si>
  <si>
    <t>FORNECIMENTO E INSTALAÇÃO DE PATH CORDS 110X110 C/1,50M</t>
  </si>
  <si>
    <t>12.54</t>
  </si>
  <si>
    <t>12.55</t>
  </si>
  <si>
    <t>12.56</t>
  </si>
  <si>
    <t>12.58</t>
  </si>
  <si>
    <t>CABO DE ALUMÍNIO S/ ALMA 4AWG</t>
  </si>
  <si>
    <t>CABO DE COBRE ISOLADO EM EPR FLEXIVEL UNIPOLAR 16MM²  - 0,6Kv/1Kv/90°</t>
  </si>
  <si>
    <t>09204 - ORSE</t>
  </si>
  <si>
    <t>04279 - ORSE</t>
  </si>
  <si>
    <t xml:space="preserve">TOMADA DUPLA, DE EMBUTIR, PARA USO GERAL, 2P+T, ABNT, 10A </t>
  </si>
  <si>
    <t>07915 - ORSE</t>
  </si>
  <si>
    <t>DISJUNTOR TERMOMAGNÉTICO TRIPOLAR 200A, PADRÃO NEMA (AMERICANO - LINHA PRETA), CORRENTE 10KA</t>
  </si>
  <si>
    <t>07918 - ORSE</t>
  </si>
  <si>
    <t>CABO DE COBRE ISOLADO EM EPR FLEXIVEL UNIPOLAR 95MM²  - 0,6Kv/1Kv/90°</t>
  </si>
  <si>
    <t>FORNECIMENTO DE ELO FUSÍVEL 6K</t>
  </si>
  <si>
    <t>355 - ORSE</t>
  </si>
  <si>
    <t>ELETRODUTO PEAD, DIÂM = 40MM (1 1/4")</t>
  </si>
  <si>
    <t>TRANSFORMADOR TRIFÁSICO 112,5KVA, AT 13800V, BT 380/220V, FORNECIMENTO</t>
  </si>
  <si>
    <t>INSTALAÇÃO DE TRANSFORMADOR TRIFÁSICO 112,5KVA, AT 13800V, BT 380/220V</t>
  </si>
  <si>
    <t>12.60</t>
  </si>
  <si>
    <t>03242 - ORSE</t>
  </si>
  <si>
    <t>REMOÇÃO DE POSTE DE CONCRETO ARMADO SEÇÃO CIRCULAR OU DUPLO T</t>
  </si>
  <si>
    <t>12.61</t>
  </si>
  <si>
    <t>TUBULAÇÃO FRIGORÍFICA EM COBRE FLEXÍVEL COM ISOLANTE TÉRMICO DE ESPUMA ELASTOMÉRICA, RECOBERTO COM PELÍCULA PROTETORA PE</t>
  </si>
  <si>
    <t>12.62</t>
  </si>
  <si>
    <t>13.02</t>
  </si>
  <si>
    <t>13.03</t>
  </si>
  <si>
    <t>13.04</t>
  </si>
  <si>
    <t>13.05</t>
  </si>
  <si>
    <t>13.06</t>
  </si>
  <si>
    <t>797 - SINAPI</t>
  </si>
  <si>
    <t>BUCHA REDUCAO PVC ROSCA 1 1/2" X 1"</t>
  </si>
  <si>
    <t>CABO DE COBRE PP CORDPLAST 3 X 2,5 MM2, 450/750V - FORNECIMENO E INSTALAÇÃO</t>
  </si>
  <si>
    <t>CONCRETO USINADO BOMBEADO FCK=30MPA, INCLUSIVE COLOCACAO, ESPALHAMENTO E ADENSAMENTO MECANICO.</t>
  </si>
  <si>
    <t>CONCRETO USINADO BOMBEADO FCK=25MPA, INCLUSIVE COLOCACAO, ESPALHAMENTO E ADENSAMENTO MECANICO.</t>
  </si>
  <si>
    <t>74138/004 - SINAPI</t>
  </si>
  <si>
    <t>ARMACAO ACO CA-50 DIAM.16,0 (5/8) À 25,0MM (1) - FORNECIMENTO/ CORTE(PERDA DE 10%) / DOBRA / COLOCAÇÃO.</t>
  </si>
  <si>
    <t>74254/001 - SINAPI</t>
  </si>
  <si>
    <t>4.07</t>
  </si>
  <si>
    <t>74138/002 - SINAPI</t>
  </si>
  <si>
    <t>ESCAVACAO MANUAL CAMPO ABERTO EM SOLO EXCETO ROCHA ATE 6,00M PROFUNDIDADE</t>
  </si>
  <si>
    <t>79474 - SINAPI</t>
  </si>
  <si>
    <t>CONCRETO USINADO BOMBEADO FCK=20MPA, INCLUSIVE COLOCACAO, ESPALHAMENTO E ADENSAMENTO MECANICO.(BASE ALARGADA)</t>
  </si>
  <si>
    <t>3.12</t>
  </si>
  <si>
    <t>DRENOS DE AR-CONDICONADOS E PATIO</t>
  </si>
  <si>
    <t>08473 - ORSE</t>
  </si>
  <si>
    <t>13.07</t>
  </si>
  <si>
    <t>TUBO PVC RÍGIDO C/ANEL BORRACHA, SERIE NORMAL, P/ESGOTO PREDIAL, D = 200MM</t>
  </si>
  <si>
    <t>JUNÇÃO PVC "Y" SOLD P/ AGUA FRIA PREDIAL 32MM</t>
  </si>
  <si>
    <t>75030/002 - SINAPI</t>
  </si>
  <si>
    <t>TUBO PVC SOLDAVEL AGUA FRIA DN 32MM, INCLUSIVE CONEXOES - FORNECIMENTO E INSTALACAO</t>
  </si>
  <si>
    <t>72575 - SINAPI</t>
  </si>
  <si>
    <t>JOELHO PVC SOLDÁVEL 90º ÁGUA FRIA 32 MM</t>
  </si>
  <si>
    <t>JOELHO PVC SOLDÁVEL 45º ÁGUA FRIA 32 MM</t>
  </si>
  <si>
    <t>72576 - SINAPI</t>
  </si>
  <si>
    <t xml:space="preserve">ESCAVACAO MANUAL CAMPO ABERTO EM SOLO EXCETO ROCHA ATE 2,00M PROFUNDID </t>
  </si>
  <si>
    <t>79478 - SINAPI</t>
  </si>
  <si>
    <t>ALVENARIA EM TIJOLO CERAMICO MACICO 5X10X20CM 1/2 VEZ (ESPESSURA 10CM) , ASSENTADO COM ARGAMASSA TRACO 1:2:8 (CIMENTO, CAL E AREIA)</t>
  </si>
  <si>
    <t>72131 - SINAPI</t>
  </si>
  <si>
    <t>13.08</t>
  </si>
  <si>
    <t>13.09</t>
  </si>
  <si>
    <t>13.10</t>
  </si>
  <si>
    <t>CONCRETO ARMADO FCK = 15 MPA, PREPARO C/ BETONEIRA,</t>
  </si>
  <si>
    <t>LAJE PRÉ-FABRICADA TRELIÇADA PARA PISO OU COBERTURA, INTEREIXO 38CM, H=12CM, EL. ENCHIMENTO EM EPS H=8CM, INCLUSIVE ESCORAMENTO EM MADEIRA E CAPEAMENTO 4CM.</t>
  </si>
  <si>
    <t>2.01</t>
  </si>
  <si>
    <t>2.02</t>
  </si>
  <si>
    <t>PORTA DE MADEIRA COMPENSADA LISA PARA CERA/VERNIZ, 0,90X2,10M, INCLUSO ADUELA 1A, ALIZAR 1A E DOBRADICA COM ANEL</t>
  </si>
  <si>
    <t>PINTURA ESMALTE ACETINADO EM MADEIRA, DUAS DEMAOS</t>
  </si>
  <si>
    <t>73739/001 - SINAPI</t>
  </si>
  <si>
    <t>8.06</t>
  </si>
  <si>
    <t>8.07</t>
  </si>
  <si>
    <t>73910/007 - SINAPI</t>
  </si>
  <si>
    <t>%</t>
  </si>
  <si>
    <t>LASTRO DE CONCRETO TRACO 1:4:8, ESPESSURA 3CM, PREPARO MECANICO, IMPERMEABILIZADO</t>
  </si>
  <si>
    <t>73907/006 - SINAPI</t>
  </si>
  <si>
    <t>83463- SINAPI</t>
  </si>
  <si>
    <t>02848- ORSE</t>
  </si>
  <si>
    <t>4339- SINAPI</t>
  </si>
  <si>
    <t>03339 - ORSE</t>
  </si>
  <si>
    <t>02960 - ORSE</t>
  </si>
  <si>
    <t>73983/001- SINAPI</t>
  </si>
  <si>
    <t>ADMINISTRAÇÃO LOCAL DA OBRA</t>
  </si>
  <si>
    <t>16.1</t>
  </si>
  <si>
    <t>SINAPI 00002706</t>
  </si>
  <si>
    <t>mês</t>
  </si>
  <si>
    <t>SINAPI 00004069</t>
  </si>
  <si>
    <t>SINAPI 00010508</t>
  </si>
  <si>
    <t>SINAPI 00000253</t>
  </si>
  <si>
    <t>16.2</t>
  </si>
  <si>
    <t>16.3</t>
  </si>
  <si>
    <t>16.4</t>
  </si>
  <si>
    <t>ENGENHEIRO JÚNIOR - DE OBRA (INSUMOS SINAPI) - 3 HORAS POR DIA</t>
  </si>
  <si>
    <t>MESTRE DE OBRAS (INSUMOS SINAPI) -8 HORAS POR DIA</t>
  </si>
  <si>
    <t>ALMOXARIFE (INSUMOS SINAPI) - 8 HORAS</t>
  </si>
  <si>
    <t>72287 - SINAPI</t>
  </si>
  <si>
    <t>72284 - SINAPI</t>
  </si>
  <si>
    <t>UNIVERSIDADE FEDERAL DE ALAGOAS</t>
  </si>
  <si>
    <t>SUPERINTENDÊNCIA DE INFRAESTRUTURA</t>
  </si>
  <si>
    <t xml:space="preserve">GERÊNCIA DE PROJETOS, OBRAS E SERVIÇOS DE ENGENHARIA </t>
  </si>
  <si>
    <t>DESCRIÇÃO DOS SERVIÇOS</t>
  </si>
  <si>
    <t>UND</t>
  </si>
  <si>
    <t>QUANT.</t>
  </si>
  <si>
    <t>PREÇOS UNIT.</t>
  </si>
  <si>
    <t>PREÇO TOTAL ITENS</t>
  </si>
  <si>
    <t>REFERÊNCIA</t>
  </si>
  <si>
    <t>TOTAL GERAL R$</t>
  </si>
  <si>
    <t>15.</t>
  </si>
  <si>
    <t>16.</t>
  </si>
  <si>
    <t>14.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</si>
  <si>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</si>
  <si>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</si>
  <si>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</si>
  <si>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</si>
  <si>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</si>
  <si>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</si>
  <si>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</si>
  <si>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</si>
  <si>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</si>
  <si>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>10.</t>
  </si>
  <si>
    <t>11.</t>
  </si>
  <si>
    <t>12.</t>
  </si>
  <si>
    <t>13.</t>
  </si>
  <si>
    <t>CRONOGRAMA - FISICO FINANCEIRO</t>
  </si>
  <si>
    <t>DESCRIÇÃO DO ITEM</t>
  </si>
  <si>
    <t>VALOR TOTAL</t>
  </si>
  <si>
    <t>(%)</t>
  </si>
  <si>
    <t>R$</t>
  </si>
  <si>
    <t>VALOR MENSAL</t>
  </si>
  <si>
    <t xml:space="preserve">VALOR ACUMULADO </t>
  </si>
  <si>
    <t>2º MÊS</t>
  </si>
  <si>
    <t>1º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</si>
  <si>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</si>
  <si>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</si>
  <si>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</si>
  <si>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</si>
  <si>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</si>
  <si>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</si>
  <si>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</si>
  <si>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</si>
  <si>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</si>
  <si>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</si>
  <si>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OBRA: CONSTRUÇÃO DO INSTITUTO DE FÍSICA NO CAMPUS A. C. SIMÕES - UFAL</t>
  </si>
  <si>
    <t>CUSTO DA OBRA R$</t>
  </si>
  <si>
    <t>VARIAÇÃO</t>
  </si>
  <si>
    <t>PREÇO UNITÁRIO DA PROPOSTA</t>
  </si>
  <si>
    <t>PREÇO TOTAL DA PROPOSTA</t>
  </si>
  <si>
    <t>PREÇO POR ITEM DA PROPOSTA</t>
  </si>
  <si>
    <t>CUSTO DA OBRA</t>
  </si>
  <si>
    <t>6042 - SINAPI</t>
  </si>
  <si>
    <t>CONCRETO NAO ESTRUTURAL, CONSUMO 210KG/M3, PREPARO COM BETONEIRA, SEM LANCAMENTO (Concreto Magro)</t>
  </si>
  <si>
    <t xml:space="preserve"> M3</t>
  </si>
  <si>
    <t>79475 - SINAPI</t>
  </si>
  <si>
    <t>ESCAVACAO MANUAL CAMPO ABERTO P/TUBULAO - FUSTE E/OU BASE (PARA TODAS AS PROFUNDIDADES)</t>
  </si>
  <si>
    <t>5970 - SINAPI</t>
  </si>
  <si>
    <t>FORMA TABUA PARA CONCRETO EM FUNDACAO, C/ REAPROVEITAMENTO 2X.</t>
  </si>
  <si>
    <t>FORMA PARA ESTRUTURAS DE CONCRETO (PILAR, VIGA E LAJE) EM CHAPA DE MADEIRA COMPENSADA RESINADA, DE 1,10 X 2,20, ESPESSURA = 12 MM, 03 UTILIZACOES. (FABRICACAO, MONTAGEM E DESMONTAGEM)</t>
  </si>
  <si>
    <t>84215 - SINAPI</t>
  </si>
  <si>
    <t>84191 - SINAPI</t>
  </si>
  <si>
    <t>PISO EM GRANILITE, MARMORITE OU GRANITINA ESPESSURA 8 MM, INCLUSO JUNTAS DE DILATACAO PLASTICAS</t>
  </si>
  <si>
    <t>Reboco ou emboço interno, de teto, com argamassa traço t6 - 1:2:10 (cimento / cal / areia), espessura 1,5 cm</t>
  </si>
  <si>
    <t xml:space="preserve">Reboco ou emboço interno, de parede, com argamassa traço t6 - 1:2:10 (cimento / cal / areia), espessura 1,5 cm </t>
  </si>
  <si>
    <t>03315/ORSE</t>
  </si>
  <si>
    <t>03314/ORSE</t>
  </si>
  <si>
    <t>EMASSAMENTO COM MASSA PVA, DUAS DEMAOS</t>
  </si>
  <si>
    <t>73868/001</t>
  </si>
  <si>
    <t>RUFO EM FIBROCIMENTO, INCLUSO ACESSORIOS DE FIXACAO E VEDACAO</t>
  </si>
  <si>
    <t>84007 - SINAPI</t>
  </si>
  <si>
    <t>PONTALETES EM MASSARANDUBA SERRADA 3"X3" PARA TELHAS ONDULADAS DE QUALQUER TIPO, MEDIDOS PELA AREA REAL DA COBERTURA DO TELHADO, INCLUSO FORNECIMENTO E COLOCACAO</t>
  </si>
  <si>
    <t>73961/001 + 72117 - SINAPI</t>
  </si>
  <si>
    <t>JANELA DE ALUMÍNIO, TIPO MAXIM-AIR C/ VIDRO LISO COMUM TRANSPARENTE, ESPESSURA 4MM</t>
  </si>
  <si>
    <t>JANELA BASCULANTE DE ALUMINIO C/ VIDRO LISO COMUM TRANSPARENTE, ESPESSURA 4MM</t>
  </si>
  <si>
    <t>68052 + 72117 - SINAPI</t>
  </si>
  <si>
    <t>73976/008</t>
  </si>
  <si>
    <t>Válvula de fluxo contínuo galvanizada</t>
  </si>
  <si>
    <t>429 - SINAPI</t>
  </si>
  <si>
    <t>04179 - ORSE.</t>
  </si>
  <si>
    <t>Fornecimento e instalação de rack de piso 19" x 24u x 700mm</t>
  </si>
  <si>
    <t>08683 - ORSE</t>
  </si>
  <si>
    <t>VIGIA NOTURNO (INSUMOS SINAPI) - 8 HORAS POR DIA - 2  Vigias</t>
  </si>
  <si>
    <t>Maceió, 24 de maio de 2013. - Atualizado em 05/02/2014</t>
  </si>
  <si>
    <t xml:space="preserve">Orçamento atualizado em 06/02/2014. </t>
  </si>
  <si>
    <t>BDI (23,9%) R$</t>
  </si>
  <si>
    <t>BDI SOBRE CUSTO 23,9 %</t>
  </si>
  <si>
    <t>O presente orçamento importa o valor de R$ 904.533,88 (Novecentos e quatro mil quinhentos e trinta e três reais e oitenta e oito centavos) SINAPI DEZ/2013 e ORSE JAN/2014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</si>
</sst>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&quot;R$ &quot;#,##0.00_);\(&quot;R$ &quot;#,##0.00\)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#.##000"/>
  </numFmts>
  <fonts count="4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8"/>
      <color indexed="56"/>
      <name val="Cambri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Courier"/>
      <family val="3"/>
    </font>
    <font>
      <sz val="10"/>
      <name val="Courier"/>
      <family val="3"/>
    </font>
    <font>
      <sz val="10"/>
      <name val="Courier New"/>
      <family val="3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8"/>
      <name val="Times New Roman"/>
      <family val="1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8"/>
      <name val="Courier New"/>
      <family val="3"/>
      <charset val="1"/>
    </font>
    <font>
      <sz val="12"/>
      <color indexed="8"/>
      <name val="Courier New"/>
      <family val="3"/>
      <charset val="1"/>
    </font>
    <font>
      <b/>
      <sz val="12"/>
      <name val="Courier New"/>
      <family val="3"/>
      <charset val="1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6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7" fillId="16" borderId="1" applyNumberFormat="0" applyAlignment="0" applyProtection="0"/>
    <xf numFmtId="0" fontId="17" fillId="16" borderId="1" applyNumberFormat="0" applyAlignment="0" applyProtection="0"/>
    <xf numFmtId="0" fontId="17" fillId="16" borderId="1" applyNumberFormat="0" applyAlignment="0" applyProtection="0"/>
    <xf numFmtId="0" fontId="17" fillId="16" borderId="1" applyNumberFormat="0" applyAlignment="0" applyProtection="0"/>
    <xf numFmtId="0" fontId="17" fillId="16" borderId="1" applyNumberFormat="0" applyAlignment="0" applyProtection="0"/>
    <xf numFmtId="0" fontId="17" fillId="16" borderId="1" applyNumberFormat="0" applyAlignment="0" applyProtection="0"/>
    <xf numFmtId="0" fontId="18" fillId="17" borderId="2" applyNumberFormat="0" applyAlignment="0" applyProtection="0"/>
    <xf numFmtId="0" fontId="18" fillId="17" borderId="2" applyNumberFormat="0" applyAlignment="0" applyProtection="0"/>
    <xf numFmtId="0" fontId="18" fillId="17" borderId="2" applyNumberFormat="0" applyAlignment="0" applyProtection="0"/>
    <xf numFmtId="0" fontId="18" fillId="17" borderId="2" applyNumberFormat="0" applyAlignment="0" applyProtection="0"/>
    <xf numFmtId="0" fontId="18" fillId="17" borderId="2" applyNumberFormat="0" applyAlignment="0" applyProtection="0"/>
    <xf numFmtId="0" fontId="18" fillId="17" borderId="2" applyNumberFormat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4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39" fontId="11" fillId="0" borderId="0"/>
    <xf numFmtId="0" fontId="36" fillId="0" borderId="0"/>
    <xf numFmtId="0" fontId="1" fillId="0" borderId="0"/>
    <xf numFmtId="39" fontId="11" fillId="0" borderId="0"/>
    <xf numFmtId="39" fontId="13" fillId="0" borderId="0"/>
    <xf numFmtId="39" fontId="13" fillId="0" borderId="0"/>
    <xf numFmtId="39" fontId="11" fillId="0" borderId="0"/>
    <xf numFmtId="39" fontId="13" fillId="0" borderId="0"/>
    <xf numFmtId="39" fontId="13" fillId="0" borderId="0"/>
    <xf numFmtId="39" fontId="13" fillId="0" borderId="0"/>
    <xf numFmtId="39" fontId="11" fillId="0" borderId="0"/>
    <xf numFmtId="39" fontId="13" fillId="0" borderId="0"/>
    <xf numFmtId="39" fontId="13" fillId="0" borderId="0"/>
    <xf numFmtId="39" fontId="13" fillId="0" borderId="0"/>
    <xf numFmtId="39" fontId="11" fillId="0" borderId="0"/>
    <xf numFmtId="39" fontId="13" fillId="0" borderId="0"/>
    <xf numFmtId="39" fontId="13" fillId="0" borderId="0"/>
    <xf numFmtId="39" fontId="11" fillId="0" borderId="0"/>
    <xf numFmtId="39" fontId="13" fillId="0" borderId="0"/>
    <xf numFmtId="39" fontId="13" fillId="0" borderId="0"/>
    <xf numFmtId="39" fontId="11" fillId="0" borderId="0"/>
    <xf numFmtId="39" fontId="11" fillId="0" borderId="0"/>
    <xf numFmtId="39" fontId="12" fillId="0" borderId="0"/>
    <xf numFmtId="39" fontId="11" fillId="0" borderId="0"/>
    <xf numFmtId="39" fontId="11" fillId="0" borderId="0"/>
    <xf numFmtId="39" fontId="11" fillId="0" borderId="0"/>
    <xf numFmtId="39" fontId="11" fillId="0" borderId="0"/>
    <xf numFmtId="39" fontId="11" fillId="0" borderId="0"/>
    <xf numFmtId="39" fontId="11" fillId="0" borderId="0"/>
    <xf numFmtId="39" fontId="12" fillId="0" borderId="0"/>
    <xf numFmtId="39" fontId="11" fillId="0" borderId="0"/>
    <xf numFmtId="39" fontId="11" fillId="0" borderId="0"/>
    <xf numFmtId="39" fontId="11" fillId="0" borderId="0"/>
    <xf numFmtId="39" fontId="11" fillId="0" borderId="0"/>
    <xf numFmtId="39" fontId="11" fillId="0" borderId="0"/>
    <xf numFmtId="39" fontId="1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2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2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/>
    <xf numFmtId="0" fontId="23" fillId="16" borderId="5" applyNumberFormat="0" applyAlignment="0" applyProtection="0"/>
    <xf numFmtId="0" fontId="23" fillId="16" borderId="5" applyNumberFormat="0" applyAlignment="0" applyProtection="0"/>
    <xf numFmtId="0" fontId="23" fillId="16" borderId="5" applyNumberFormat="0" applyAlignment="0" applyProtection="0"/>
    <xf numFmtId="0" fontId="23" fillId="16" borderId="5" applyNumberFormat="0" applyAlignment="0" applyProtection="0"/>
    <xf numFmtId="0" fontId="23" fillId="16" borderId="5" applyNumberFormat="0" applyAlignment="0" applyProtection="0"/>
    <xf numFmtId="0" fontId="23" fillId="16" borderId="5" applyNumberFormat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9" fontId="36" fillId="0" borderId="0" applyFont="0" applyFill="0" applyBorder="0" applyAlignment="0" applyProtection="0"/>
  </cellStyleXfs>
  <cellXfs count="184">
    <xf numFmtId="0" fontId="0" fillId="0" borderId="0" xfId="0"/>
    <xf numFmtId="0" fontId="38" fillId="0" borderId="0" xfId="0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39" fillId="0" borderId="0" xfId="0" applyFont="1" applyAlignment="1">
      <alignment horizontal="center" vertical="center" wrapText="1"/>
    </xf>
    <xf numFmtId="0" fontId="0" fillId="0" borderId="0" xfId="0" applyFill="1"/>
    <xf numFmtId="0" fontId="37" fillId="0" borderId="0" xfId="0" applyFont="1" applyFill="1"/>
    <xf numFmtId="0" fontId="40" fillId="0" borderId="0" xfId="0" applyFont="1" applyFill="1"/>
    <xf numFmtId="0" fontId="41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2" fontId="41" fillId="0" borderId="0" xfId="0" applyNumberFormat="1" applyFont="1" applyFill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9" fontId="4" fillId="0" borderId="10" xfId="0" applyNumberFormat="1" applyFont="1" applyFill="1" applyBorder="1" applyAlignment="1">
      <alignment horizontal="left" vertical="center" wrapText="1"/>
    </xf>
    <xf numFmtId="39" fontId="4" fillId="0" borderId="10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1" fillId="0" borderId="10" xfId="0" applyNumberFormat="1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vertical="center" wrapText="1"/>
    </xf>
    <xf numFmtId="49" fontId="6" fillId="0" borderId="10" xfId="0" applyNumberFormat="1" applyFont="1" applyFill="1" applyBorder="1" applyAlignment="1">
      <alignment horizontal="left"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4" fontId="41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left" vertical="center" wrapText="1"/>
    </xf>
    <xf numFmtId="49" fontId="41" fillId="0" borderId="10" xfId="0" applyNumberFormat="1" applyFont="1" applyFill="1" applyBorder="1" applyAlignment="1">
      <alignment horizontal="left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vertical="center"/>
    </xf>
    <xf numFmtId="0" fontId="41" fillId="0" borderId="10" xfId="184" applyFont="1" applyFill="1" applyBorder="1" applyAlignment="1">
      <alignment horizontal="center" vertical="top" wrapText="1"/>
    </xf>
    <xf numFmtId="0" fontId="42" fillId="0" borderId="10" xfId="0" applyFont="1" applyFill="1" applyBorder="1" applyAlignment="1">
      <alignment horizontal="justify" vertical="top" wrapText="1"/>
    </xf>
    <xf numFmtId="0" fontId="41" fillId="0" borderId="10" xfId="184" applyFont="1" applyFill="1" applyBorder="1" applyAlignment="1">
      <alignment horizontal="center" vertical="top"/>
    </xf>
    <xf numFmtId="4" fontId="41" fillId="0" borderId="10" xfId="184" applyNumberFormat="1" applyFont="1" applyFill="1" applyBorder="1" applyAlignment="1">
      <alignment horizontal="right" vertical="top"/>
    </xf>
    <xf numFmtId="0" fontId="41" fillId="0" borderId="0" xfId="0" applyFont="1" applyAlignment="1">
      <alignment vertical="center" wrapText="1"/>
    </xf>
    <xf numFmtId="0" fontId="4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/>
    <xf numFmtId="0" fontId="43" fillId="0" borderId="0" xfId="0" applyFont="1" applyFill="1"/>
    <xf numFmtId="0" fontId="7" fillId="28" borderId="10" xfId="0" applyFont="1" applyFill="1" applyBorder="1" applyAlignment="1">
      <alignment horizontal="center" vertical="center" wrapText="1"/>
    </xf>
    <xf numFmtId="4" fontId="7" fillId="28" borderId="10" xfId="0" applyNumberFormat="1" applyFont="1" applyFill="1" applyBorder="1" applyAlignment="1">
      <alignment horizontal="center" vertical="center" wrapText="1"/>
    </xf>
    <xf numFmtId="10" fontId="4" fillId="0" borderId="10" xfId="255" applyNumberFormat="1" applyFont="1" applyFill="1" applyBorder="1"/>
    <xf numFmtId="0" fontId="0" fillId="0" borderId="0" xfId="0"/>
    <xf numFmtId="0" fontId="0" fillId="0" borderId="0" xfId="0"/>
    <xf numFmtId="0" fontId="9" fillId="0" borderId="0" xfId="2" applyFont="1" applyFill="1" applyBorder="1"/>
    <xf numFmtId="4" fontId="9" fillId="0" borderId="0" xfId="2" applyNumberFormat="1" applyFont="1" applyFill="1" applyBorder="1" applyAlignment="1">
      <alignment vertical="center"/>
    </xf>
    <xf numFmtId="39" fontId="11" fillId="0" borderId="0" xfId="243"/>
    <xf numFmtId="39" fontId="2" fillId="0" borderId="0" xfId="243" applyFont="1" applyFill="1" applyBorder="1" applyAlignment="1">
      <alignment horizontal="center" wrapText="1"/>
    </xf>
    <xf numFmtId="2" fontId="2" fillId="0" borderId="0" xfId="243" applyNumberFormat="1" applyFont="1" applyFill="1" applyBorder="1" applyAlignment="1">
      <alignment horizontal="center" wrapText="1"/>
    </xf>
    <xf numFmtId="39" fontId="3" fillId="0" borderId="0" xfId="243" applyFont="1" applyFill="1" applyBorder="1" applyAlignment="1">
      <alignment horizontal="center" wrapText="1"/>
    </xf>
    <xf numFmtId="39" fontId="3" fillId="0" borderId="0" xfId="243" applyFont="1" applyFill="1" applyBorder="1" applyAlignment="1">
      <alignment horizontal="right" wrapText="1"/>
    </xf>
    <xf numFmtId="39" fontId="9" fillId="0" borderId="0" xfId="243" applyFont="1" applyBorder="1" applyAlignment="1">
      <alignment horizontal="left"/>
    </xf>
    <xf numFmtId="39" fontId="28" fillId="0" borderId="0" xfId="243" applyFont="1" applyBorder="1" applyAlignment="1">
      <alignment horizontal="center"/>
    </xf>
    <xf numFmtId="4" fontId="28" fillId="0" borderId="0" xfId="243" applyNumberFormat="1" applyFont="1" applyBorder="1"/>
    <xf numFmtId="39" fontId="10" fillId="28" borderId="10" xfId="247" applyFont="1" applyFill="1" applyBorder="1" applyAlignment="1" applyProtection="1">
      <alignment horizontal="center" vertical="center" wrapText="1"/>
    </xf>
    <xf numFmtId="39" fontId="10" fillId="28" borderId="10" xfId="247" applyFont="1" applyFill="1" applyBorder="1" applyAlignment="1" applyProtection="1">
      <alignment horizontal="center" vertical="center"/>
    </xf>
    <xf numFmtId="4" fontId="10" fillId="28" borderId="10" xfId="247" applyNumberFormat="1" applyFont="1" applyFill="1" applyBorder="1" applyAlignment="1" applyProtection="1">
      <alignment horizontal="center" vertical="center"/>
    </xf>
    <xf numFmtId="2" fontId="10" fillId="28" borderId="10" xfId="247" applyNumberFormat="1" applyFont="1" applyFill="1" applyBorder="1" applyAlignment="1" applyProtection="1">
      <alignment horizontal="center" vertical="center" wrapText="1"/>
    </xf>
    <xf numFmtId="39" fontId="5" fillId="0" borderId="11" xfId="0" applyNumberFormat="1" applyFont="1" applyFill="1" applyBorder="1" applyAlignment="1">
      <alignment horizontal="center"/>
    </xf>
    <xf numFmtId="39" fontId="5" fillId="0" borderId="12" xfId="0" applyNumberFormat="1" applyFont="1" applyFill="1" applyBorder="1" applyAlignment="1">
      <alignment horizontal="center"/>
    </xf>
    <xf numFmtId="39" fontId="0" fillId="0" borderId="0" xfId="0" applyNumberFormat="1" applyAlignment="1">
      <alignment horizontal="center" vertical="center"/>
    </xf>
    <xf numFmtId="39" fontId="5" fillId="0" borderId="13" xfId="0" applyNumberFormat="1" applyFont="1" applyFill="1" applyBorder="1" applyAlignment="1">
      <alignment horizontal="center" vertical="center"/>
    </xf>
    <xf numFmtId="39" fontId="5" fillId="25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9" fontId="0" fillId="0" borderId="0" xfId="0" applyNumberFormat="1" applyAlignment="1">
      <alignment vertical="center"/>
    </xf>
    <xf numFmtId="39" fontId="5" fillId="0" borderId="12" xfId="0" applyNumberFormat="1" applyFont="1" applyFill="1" applyBorder="1" applyAlignment="1">
      <alignment horizontal="left" vertical="center"/>
    </xf>
    <xf numFmtId="39" fontId="5" fillId="0" borderId="12" xfId="0" applyNumberFormat="1" applyFont="1" applyFill="1" applyBorder="1" applyAlignment="1">
      <alignment horizontal="right" vertical="center"/>
    </xf>
    <xf numFmtId="39" fontId="5" fillId="0" borderId="12" xfId="0" applyNumberFormat="1" applyFont="1" applyFill="1" applyBorder="1" applyAlignment="1">
      <alignment horizontal="center" vertical="center"/>
    </xf>
    <xf numFmtId="39" fontId="5" fillId="25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43" fillId="0" borderId="0" xfId="0" applyFont="1" applyFill="1"/>
    <xf numFmtId="0" fontId="4" fillId="0" borderId="0" xfId="0" applyFont="1" applyBorder="1"/>
    <xf numFmtId="0" fontId="44" fillId="0" borderId="0" xfId="0" applyFont="1" applyFill="1" applyBorder="1"/>
    <xf numFmtId="39" fontId="5" fillId="25" borderId="10" xfId="0" applyNumberFormat="1" applyFont="1" applyFill="1" applyBorder="1" applyAlignment="1">
      <alignment horizontal="center"/>
    </xf>
    <xf numFmtId="166" fontId="5" fillId="25" borderId="10" xfId="283" applyFont="1" applyFill="1" applyBorder="1" applyAlignment="1">
      <alignment horizontal="center"/>
    </xf>
    <xf numFmtId="167" fontId="5" fillId="25" borderId="10" xfId="0" applyNumberFormat="1" applyFont="1" applyFill="1" applyBorder="1" applyAlignment="1">
      <alignment horizontal="center"/>
    </xf>
    <xf numFmtId="9" fontId="4" fillId="29" borderId="10" xfId="255" applyFont="1" applyFill="1" applyBorder="1"/>
    <xf numFmtId="9" fontId="4" fillId="0" borderId="10" xfId="255" applyFont="1" applyFill="1" applyBorder="1"/>
    <xf numFmtId="166" fontId="4" fillId="0" borderId="10" xfId="283" applyFont="1" applyFill="1" applyBorder="1"/>
    <xf numFmtId="39" fontId="5" fillId="0" borderId="12" xfId="0" applyNumberFormat="1" applyFont="1" applyFill="1" applyBorder="1" applyAlignment="1">
      <alignment horizontal="right"/>
    </xf>
    <xf numFmtId="39" fontId="5" fillId="0" borderId="11" xfId="0" applyNumberFormat="1" applyFont="1" applyFill="1" applyBorder="1" applyAlignment="1">
      <alignment horizontal="right"/>
    </xf>
    <xf numFmtId="9" fontId="4" fillId="26" borderId="10" xfId="255" applyFont="1" applyFill="1" applyBorder="1"/>
    <xf numFmtId="166" fontId="5" fillId="30" borderId="14" xfId="283" applyFont="1" applyFill="1" applyBorder="1" applyAlignment="1">
      <alignment horizontal="center" wrapText="1"/>
    </xf>
    <xf numFmtId="166" fontId="4" fillId="26" borderId="10" xfId="283" applyFont="1" applyFill="1" applyBorder="1"/>
    <xf numFmtId="9" fontId="4" fillId="0" borderId="10" xfId="283" applyNumberFormat="1" applyFont="1" applyFill="1" applyBorder="1"/>
    <xf numFmtId="39" fontId="5" fillId="26" borderId="12" xfId="0" applyNumberFormat="1" applyFont="1" applyFill="1" applyBorder="1" applyAlignment="1">
      <alignment horizontal="right"/>
    </xf>
    <xf numFmtId="39" fontId="5" fillId="26" borderId="11" xfId="0" applyNumberFormat="1" applyFont="1" applyFill="1" applyBorder="1" applyAlignment="1">
      <alignment horizontal="right"/>
    </xf>
    <xf numFmtId="166" fontId="5" fillId="0" borderId="15" xfId="283" applyFont="1" applyFill="1" applyBorder="1" applyAlignment="1">
      <alignment horizontal="center" wrapText="1"/>
    </xf>
    <xf numFmtId="9" fontId="4" fillId="0" borderId="10" xfId="0" applyNumberFormat="1" applyFont="1" applyFill="1" applyBorder="1" applyAlignment="1">
      <alignment horizontal="right"/>
    </xf>
    <xf numFmtId="39" fontId="4" fillId="0" borderId="11" xfId="0" applyNumberFormat="1" applyFont="1" applyFill="1" applyBorder="1" applyAlignment="1">
      <alignment horizontal="right"/>
    </xf>
    <xf numFmtId="166" fontId="5" fillId="0" borderId="10" xfId="283" applyFont="1" applyFill="1" applyBorder="1" applyAlignment="1">
      <alignment horizontal="center"/>
    </xf>
    <xf numFmtId="10" fontId="4" fillId="0" borderId="10" xfId="268" applyNumberFormat="1" applyFont="1" applyFill="1" applyBorder="1" applyAlignment="1">
      <alignment horizontal="center"/>
    </xf>
    <xf numFmtId="166" fontId="4" fillId="0" borderId="10" xfId="283" applyFont="1" applyFill="1" applyBorder="1" applyAlignment="1">
      <alignment horizontal="right"/>
    </xf>
    <xf numFmtId="166" fontId="4" fillId="0" borderId="10" xfId="283" applyFont="1" applyFill="1" applyBorder="1" applyAlignment="1">
      <alignment horizontal="center"/>
    </xf>
    <xf numFmtId="10" fontId="5" fillId="0" borderId="10" xfId="283" applyNumberFormat="1" applyFont="1" applyFill="1" applyBorder="1" applyAlignment="1">
      <alignment horizontal="center"/>
    </xf>
    <xf numFmtId="166" fontId="5" fillId="0" borderId="10" xfId="283" applyFont="1" applyFill="1" applyBorder="1" applyAlignment="1">
      <alignment horizontal="right"/>
    </xf>
    <xf numFmtId="39" fontId="0" fillId="0" borderId="0" xfId="0" applyNumberFormat="1"/>
    <xf numFmtId="39" fontId="0" fillId="26" borderId="0" xfId="0" applyNumberFormat="1" applyFill="1"/>
    <xf numFmtId="0" fontId="45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164" fontId="5" fillId="0" borderId="10" xfId="283" applyNumberFormat="1" applyFont="1" applyFill="1" applyBorder="1" applyAlignment="1">
      <alignment horizontal="center"/>
    </xf>
    <xf numFmtId="166" fontId="5" fillId="0" borderId="14" xfId="283" applyFont="1" applyFill="1" applyBorder="1" applyAlignment="1">
      <alignment horizontal="center" wrapText="1"/>
    </xf>
    <xf numFmtId="166" fontId="4" fillId="30" borderId="10" xfId="283" applyFont="1" applyFill="1" applyBorder="1"/>
    <xf numFmtId="9" fontId="4" fillId="30" borderId="10" xfId="255" applyFont="1" applyFill="1" applyBorder="1"/>
    <xf numFmtId="9" fontId="4" fillId="30" borderId="10" xfId="0" applyNumberFormat="1" applyFont="1" applyFill="1" applyBorder="1" applyAlignment="1">
      <alignment horizontal="right"/>
    </xf>
    <xf numFmtId="39" fontId="4" fillId="30" borderId="11" xfId="0" applyNumberFormat="1" applyFont="1" applyFill="1" applyBorder="1" applyAlignment="1">
      <alignment horizontal="right"/>
    </xf>
    <xf numFmtId="10" fontId="4" fillId="0" borderId="10" xfId="0" applyNumberFormat="1" applyFont="1" applyFill="1" applyBorder="1" applyAlignment="1">
      <alignment horizontal="right"/>
    </xf>
    <xf numFmtId="0" fontId="41" fillId="0" borderId="0" xfId="0" applyFont="1" applyFill="1" applyAlignment="1">
      <alignment horizontal="left"/>
    </xf>
    <xf numFmtId="39" fontId="3" fillId="31" borderId="10" xfId="243" applyFont="1" applyFill="1" applyBorder="1" applyAlignment="1">
      <alignment horizontal="center" wrapText="1"/>
    </xf>
    <xf numFmtId="4" fontId="29" fillId="24" borderId="15" xfId="255" applyNumberFormat="1" applyFont="1" applyFill="1" applyBorder="1" applyAlignment="1" applyProtection="1">
      <alignment horizontal="center" vertical="center" wrapText="1"/>
      <protection hidden="1"/>
    </xf>
    <xf numFmtId="4" fontId="30" fillId="24" borderId="15" xfId="255" applyNumberFormat="1" applyFont="1" applyFill="1" applyBorder="1" applyAlignment="1" applyProtection="1">
      <alignment horizontal="center" vertical="center" wrapText="1"/>
      <protection hidden="1"/>
    </xf>
    <xf numFmtId="10" fontId="32" fillId="32" borderId="10" xfId="271" applyNumberFormat="1" applyFont="1" applyFill="1" applyBorder="1" applyAlignment="1" applyProtection="1">
      <alignment vertical="center"/>
      <protection hidden="1"/>
    </xf>
    <xf numFmtId="0" fontId="33" fillId="32" borderId="10" xfId="183" applyFont="1" applyFill="1" applyBorder="1" applyAlignment="1" applyProtection="1">
      <alignment horizontal="center" vertical="center"/>
      <protection hidden="1"/>
    </xf>
    <xf numFmtId="39" fontId="33" fillId="32" borderId="10" xfId="183" applyNumberFormat="1" applyFont="1" applyFill="1" applyBorder="1" applyAlignment="1" applyProtection="1">
      <alignment vertical="center"/>
      <protection hidden="1"/>
    </xf>
    <xf numFmtId="4" fontId="34" fillId="32" borderId="10" xfId="183" applyNumberFormat="1" applyFont="1" applyFill="1" applyBorder="1" applyAlignment="1" applyProtection="1">
      <alignment horizontal="right" vertical="center" wrapText="1"/>
      <protection hidden="1"/>
    </xf>
    <xf numFmtId="10" fontId="32" fillId="0" borderId="10" xfId="271" applyNumberFormat="1" applyFont="1" applyBorder="1" applyAlignment="1" applyProtection="1">
      <alignment vertical="center"/>
      <protection hidden="1"/>
    </xf>
    <xf numFmtId="0" fontId="33" fillId="27" borderId="10" xfId="183" applyFont="1" applyFill="1" applyBorder="1" applyAlignment="1" applyProtection="1">
      <alignment horizontal="center" vertical="center"/>
      <protection hidden="1"/>
    </xf>
    <xf numFmtId="39" fontId="33" fillId="27" borderId="10" xfId="183" applyNumberFormat="1" applyFont="1" applyFill="1" applyBorder="1" applyAlignment="1" applyProtection="1">
      <alignment vertical="center"/>
      <protection hidden="1"/>
    </xf>
    <xf numFmtId="0" fontId="35" fillId="0" borderId="0" xfId="204" applyFont="1" applyFill="1" applyBorder="1" applyAlignment="1" applyProtection="1">
      <alignment horizontal="center" vertical="center"/>
      <protection hidden="1"/>
    </xf>
    <xf numFmtId="10" fontId="32" fillId="0" borderId="0" xfId="271" applyNumberFormat="1" applyFont="1" applyFill="1" applyBorder="1" applyAlignment="1" applyProtection="1">
      <alignment vertical="center"/>
      <protection hidden="1"/>
    </xf>
    <xf numFmtId="0" fontId="33" fillId="0" borderId="0" xfId="183" applyFont="1" applyFill="1" applyBorder="1" applyAlignment="1" applyProtection="1">
      <alignment horizontal="center" vertical="center"/>
      <protection hidden="1"/>
    </xf>
    <xf numFmtId="39" fontId="33" fillId="0" borderId="0" xfId="183" applyNumberFormat="1" applyFont="1" applyFill="1" applyBorder="1" applyAlignment="1" applyProtection="1">
      <alignment vertical="center"/>
      <protection hidden="1"/>
    </xf>
    <xf numFmtId="0" fontId="0" fillId="0" borderId="0" xfId="0" applyFill="1" applyBorder="1"/>
    <xf numFmtId="0" fontId="40" fillId="0" borderId="0" xfId="0" applyFont="1" applyFill="1" applyBorder="1"/>
    <xf numFmtId="0" fontId="0" fillId="0" borderId="10" xfId="0" applyFill="1" applyBorder="1"/>
    <xf numFmtId="44" fontId="0" fillId="0" borderId="0" xfId="191" applyFont="1"/>
    <xf numFmtId="0" fontId="0" fillId="0" borderId="14" xfId="0" applyFill="1" applyBorder="1" applyAlignment="1"/>
    <xf numFmtId="0" fontId="0" fillId="0" borderId="19" xfId="0" applyFill="1" applyBorder="1" applyAlignment="1"/>
    <xf numFmtId="0" fontId="6" fillId="0" borderId="15" xfId="0" applyFont="1" applyFill="1" applyBorder="1" applyAlignment="1">
      <alignment horizontal="center" vertical="center" wrapText="1"/>
    </xf>
    <xf numFmtId="49" fontId="41" fillId="0" borderId="15" xfId="0" applyNumberFormat="1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41" fillId="0" borderId="15" xfId="0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1" fillId="0" borderId="15" xfId="0" applyNumberFormat="1" applyFont="1" applyFill="1" applyBorder="1" applyAlignment="1">
      <alignment horizontal="center" vertical="center" wrapText="1"/>
    </xf>
    <xf numFmtId="10" fontId="32" fillId="0" borderId="15" xfId="271" applyNumberFormat="1" applyFont="1" applyBorder="1" applyAlignment="1" applyProtection="1">
      <alignment vertical="center"/>
      <protection hidden="1"/>
    </xf>
    <xf numFmtId="0" fontId="33" fillId="27" borderId="15" xfId="183" applyFont="1" applyFill="1" applyBorder="1" applyAlignment="1" applyProtection="1">
      <alignment horizontal="center" vertical="center"/>
      <protection hidden="1"/>
    </xf>
    <xf numFmtId="39" fontId="33" fillId="27" borderId="15" xfId="183" applyNumberFormat="1" applyFont="1" applyFill="1" applyBorder="1" applyAlignment="1" applyProtection="1">
      <alignment vertical="center"/>
      <protection hidden="1"/>
    </xf>
    <xf numFmtId="0" fontId="0" fillId="0" borderId="12" xfId="0" applyFill="1" applyBorder="1"/>
    <xf numFmtId="0" fontId="0" fillId="33" borderId="0" xfId="0" applyFill="1"/>
    <xf numFmtId="0" fontId="6" fillId="31" borderId="14" xfId="0" applyFont="1" applyFill="1" applyBorder="1" applyAlignment="1">
      <alignment horizontal="center" vertical="center" wrapText="1"/>
    </xf>
    <xf numFmtId="49" fontId="41" fillId="31" borderId="14" xfId="0" applyNumberFormat="1" applyFont="1" applyFill="1" applyBorder="1" applyAlignment="1">
      <alignment horizontal="left" vertical="center" wrapText="1"/>
    </xf>
    <xf numFmtId="0" fontId="7" fillId="31" borderId="14" xfId="0" applyFont="1" applyFill="1" applyBorder="1" applyAlignment="1">
      <alignment horizontal="center" vertical="center" wrapText="1"/>
    </xf>
    <xf numFmtId="0" fontId="41" fillId="31" borderId="14" xfId="0" applyFont="1" applyFill="1" applyBorder="1" applyAlignment="1">
      <alignment horizontal="center" vertical="center" wrapText="1"/>
    </xf>
    <xf numFmtId="4" fontId="4" fillId="31" borderId="14" xfId="0" applyNumberFormat="1" applyFont="1" applyFill="1" applyBorder="1" applyAlignment="1">
      <alignment horizontal="center" vertical="center" wrapText="1"/>
    </xf>
    <xf numFmtId="4" fontId="41" fillId="31" borderId="14" xfId="0" applyNumberFormat="1" applyFont="1" applyFill="1" applyBorder="1" applyAlignment="1">
      <alignment horizontal="center" vertical="center" wrapText="1"/>
    </xf>
    <xf numFmtId="10" fontId="32" fillId="31" borderId="14" xfId="271" applyNumberFormat="1" applyFont="1" applyFill="1" applyBorder="1" applyAlignment="1" applyProtection="1">
      <alignment vertical="center"/>
      <protection hidden="1"/>
    </xf>
    <xf numFmtId="0" fontId="4" fillId="31" borderId="10" xfId="0" applyFont="1" applyFill="1" applyBorder="1" applyAlignment="1">
      <alignment horizontal="center" vertical="center" wrapText="1"/>
    </xf>
    <xf numFmtId="0" fontId="6" fillId="31" borderId="10" xfId="0" applyFont="1" applyFill="1" applyBorder="1" applyAlignment="1">
      <alignment horizontal="center" vertical="center" wrapText="1"/>
    </xf>
    <xf numFmtId="49" fontId="4" fillId="31" borderId="10" xfId="0" applyNumberFormat="1" applyFont="1" applyFill="1" applyBorder="1" applyAlignment="1">
      <alignment horizontal="left" vertical="center" wrapText="1"/>
    </xf>
    <xf numFmtId="0" fontId="5" fillId="31" borderId="10" xfId="0" applyFont="1" applyFill="1" applyBorder="1" applyAlignment="1">
      <alignment horizontal="center" vertical="center" wrapText="1"/>
    </xf>
    <xf numFmtId="4" fontId="4" fillId="31" borderId="10" xfId="0" applyNumberFormat="1" applyFont="1" applyFill="1" applyBorder="1" applyAlignment="1">
      <alignment horizontal="center" vertical="center" wrapText="1"/>
    </xf>
    <xf numFmtId="10" fontId="32" fillId="31" borderId="10" xfId="271" applyNumberFormat="1" applyFont="1" applyFill="1" applyBorder="1" applyAlignment="1" applyProtection="1">
      <alignment vertical="center"/>
      <protection hidden="1"/>
    </xf>
    <xf numFmtId="0" fontId="40" fillId="31" borderId="0" xfId="0" applyFont="1" applyFill="1"/>
    <xf numFmtId="9" fontId="0" fillId="0" borderId="0" xfId="0" applyNumberFormat="1"/>
    <xf numFmtId="10" fontId="5" fillId="0" borderId="12" xfId="364" applyNumberFormat="1" applyFont="1" applyFill="1" applyBorder="1" applyAlignment="1">
      <alignment horizontal="right"/>
    </xf>
    <xf numFmtId="49" fontId="7" fillId="28" borderId="10" xfId="0" applyNumberFormat="1" applyFont="1" applyFill="1" applyBorder="1" applyAlignment="1">
      <alignment horizontal="left" vertical="center" wrapText="1"/>
    </xf>
    <xf numFmtId="0" fontId="41" fillId="0" borderId="0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41" fillId="0" borderId="10" xfId="0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39" fontId="3" fillId="31" borderId="10" xfId="243" applyFont="1" applyFill="1" applyBorder="1" applyAlignment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/>
    </xf>
    <xf numFmtId="0" fontId="35" fillId="0" borderId="10" xfId="204" applyFont="1" applyFill="1" applyBorder="1" applyAlignment="1" applyProtection="1">
      <alignment horizontal="center" vertical="center"/>
      <protection hidden="1"/>
    </xf>
    <xf numFmtId="0" fontId="43" fillId="0" borderId="0" xfId="0" applyFont="1" applyFill="1" applyAlignment="1">
      <alignment horizontal="left"/>
    </xf>
    <xf numFmtId="39" fontId="5" fillId="0" borderId="14" xfId="0" applyNumberFormat="1" applyFont="1" applyFill="1" applyBorder="1" applyAlignment="1">
      <alignment horizontal="center" vertical="center"/>
    </xf>
    <xf numFmtId="39" fontId="5" fillId="0" borderId="15" xfId="0" applyNumberFormat="1" applyFont="1" applyFill="1" applyBorder="1" applyAlignment="1">
      <alignment horizontal="center" vertical="center"/>
    </xf>
    <xf numFmtId="10" fontId="5" fillId="0" borderId="14" xfId="255" applyNumberFormat="1" applyFont="1" applyFill="1" applyBorder="1" applyAlignment="1">
      <alignment horizontal="center"/>
    </xf>
    <xf numFmtId="10" fontId="5" fillId="0" borderId="15" xfId="255" applyNumberFormat="1" applyFont="1" applyFill="1" applyBorder="1" applyAlignment="1">
      <alignment horizontal="center"/>
    </xf>
    <xf numFmtId="0" fontId="43" fillId="0" borderId="16" xfId="0" applyFont="1" applyFill="1" applyBorder="1" applyAlignment="1">
      <alignment horizontal="left" vertical="center"/>
    </xf>
    <xf numFmtId="39" fontId="5" fillId="0" borderId="14" xfId="0" applyNumberFormat="1" applyFont="1" applyFill="1" applyBorder="1" applyAlignment="1">
      <alignment horizontal="center" vertical="center" wrapText="1"/>
    </xf>
    <xf numFmtId="39" fontId="5" fillId="0" borderId="15" xfId="0" applyNumberFormat="1" applyFont="1" applyFill="1" applyBorder="1" applyAlignment="1">
      <alignment horizontal="center" vertical="center" wrapText="1"/>
    </xf>
    <xf numFmtId="164" fontId="5" fillId="0" borderId="14" xfId="283" applyNumberFormat="1" applyFont="1" applyFill="1" applyBorder="1" applyAlignment="1">
      <alignment horizontal="right" wrapText="1"/>
    </xf>
    <xf numFmtId="166" fontId="5" fillId="0" borderId="15" xfId="283" applyFont="1" applyFill="1" applyBorder="1" applyAlignment="1">
      <alignment horizontal="right" wrapText="1"/>
    </xf>
    <xf numFmtId="39" fontId="5" fillId="25" borderId="13" xfId="0" applyNumberFormat="1" applyFont="1" applyFill="1" applyBorder="1" applyAlignment="1">
      <alignment horizontal="center"/>
    </xf>
    <xf numFmtId="39" fontId="5" fillId="25" borderId="12" xfId="0" applyNumberFormat="1" applyFont="1" applyFill="1" applyBorder="1" applyAlignment="1">
      <alignment horizontal="center"/>
    </xf>
    <xf numFmtId="39" fontId="5" fillId="25" borderId="11" xfId="0" applyNumberFormat="1" applyFont="1" applyFill="1" applyBorder="1" applyAlignment="1">
      <alignment horizontal="center"/>
    </xf>
    <xf numFmtId="164" fontId="5" fillId="0" borderId="15" xfId="283" applyNumberFormat="1" applyFont="1" applyFill="1" applyBorder="1" applyAlignment="1">
      <alignment horizontal="right" wrapText="1"/>
    </xf>
    <xf numFmtId="39" fontId="5" fillId="0" borderId="13" xfId="0" applyNumberFormat="1" applyFont="1" applyFill="1" applyBorder="1" applyAlignment="1">
      <alignment horizontal="center"/>
    </xf>
    <xf numFmtId="39" fontId="5" fillId="0" borderId="12" xfId="0" applyNumberFormat="1" applyFont="1" applyFill="1" applyBorder="1" applyAlignment="1">
      <alignment horizontal="center"/>
    </xf>
    <xf numFmtId="39" fontId="5" fillId="0" borderId="11" xfId="0" applyNumberFormat="1" applyFont="1" applyFill="1" applyBorder="1" applyAlignment="1">
      <alignment horizontal="center"/>
    </xf>
    <xf numFmtId="39" fontId="5" fillId="0" borderId="17" xfId="0" applyNumberFormat="1" applyFont="1" applyFill="1" applyBorder="1" applyAlignment="1">
      <alignment horizontal="center" vertical="center"/>
    </xf>
    <xf numFmtId="39" fontId="5" fillId="0" borderId="18" xfId="0" applyNumberFormat="1" applyFont="1" applyFill="1" applyBorder="1" applyAlignment="1">
      <alignment horizontal="center" vertical="center"/>
    </xf>
  </cellXfs>
  <cellStyles count="365">
    <cellStyle name="0,0_x000d__x000a_NA_x000d__x000a_" xfId="1"/>
    <cellStyle name="0,0_x000d__x000a_NA_x000d__x000a_ 2" xfId="2"/>
    <cellStyle name="0,0_x000d__x000a_NA_x000d__x000a_ 3" xfId="3"/>
    <cellStyle name="0,0_x000d__x000a_NA_x000d__x000a_ 4" xfId="4"/>
    <cellStyle name="0,0_x000d__x000a_NA_x000d__x000a_ 5" xfId="5"/>
    <cellStyle name="0,0_x000d__x000a_NA_x000d__x000a_ 6" xfId="6"/>
    <cellStyle name="0,0_x000d__x000a_NA_x000d__x000a_ 7" xfId="7"/>
    <cellStyle name="0,0_x000d__x000a_NA_x000d__x000a_ 8" xfId="8"/>
    <cellStyle name="20% - Ênfase1 2" xfId="9"/>
    <cellStyle name="20% - Ênfase1 2 2" xfId="10"/>
    <cellStyle name="20% - Ênfase1 3" xfId="11"/>
    <cellStyle name="20% - Ênfase1 3 2" xfId="12"/>
    <cellStyle name="20% - Ênfase1 4" xfId="13"/>
    <cellStyle name="20% - Ênfase1 5" xfId="14"/>
    <cellStyle name="20% - Ênfase2 2" xfId="15"/>
    <cellStyle name="20% - Ênfase2 2 2" xfId="16"/>
    <cellStyle name="20% - Ênfase2 3" xfId="17"/>
    <cellStyle name="20% - Ênfase2 3 2" xfId="18"/>
    <cellStyle name="20% - Ênfase2 4" xfId="19"/>
    <cellStyle name="20% - Ênfase2 5" xfId="20"/>
    <cellStyle name="20% - Ênfase3 2" xfId="21"/>
    <cellStyle name="20% - Ênfase3 2 2" xfId="22"/>
    <cellStyle name="20% - Ênfase3 3" xfId="23"/>
    <cellStyle name="20% - Ênfase3 3 2" xfId="24"/>
    <cellStyle name="20% - Ênfase3 4" xfId="25"/>
    <cellStyle name="20% - Ênfase3 5" xfId="26"/>
    <cellStyle name="20% - Ênfase4 2" xfId="27"/>
    <cellStyle name="20% - Ênfase4 2 2" xfId="28"/>
    <cellStyle name="20% - Ênfase4 3" xfId="29"/>
    <cellStyle name="20% - Ênfase4 3 2" xfId="30"/>
    <cellStyle name="20% - Ênfase4 4" xfId="31"/>
    <cellStyle name="20% - Ênfase4 5" xfId="32"/>
    <cellStyle name="20% - Ênfase5 2" xfId="33"/>
    <cellStyle name="20% - Ênfase5 2 2" xfId="34"/>
    <cellStyle name="20% - Ênfase5 3" xfId="35"/>
    <cellStyle name="20% - Ênfase5 3 2" xfId="36"/>
    <cellStyle name="20% - Ênfase5 4" xfId="37"/>
    <cellStyle name="20% - Ênfase5 5" xfId="38"/>
    <cellStyle name="20% - Ênfase6 2" xfId="39"/>
    <cellStyle name="20% - Ênfase6 2 2" xfId="40"/>
    <cellStyle name="20% - Ênfase6 3" xfId="41"/>
    <cellStyle name="20% - Ênfase6 3 2" xfId="42"/>
    <cellStyle name="20% - Ênfase6 4" xfId="43"/>
    <cellStyle name="20% - Ênfase6 5" xfId="44"/>
    <cellStyle name="40% - Ênfase1 2" xfId="45"/>
    <cellStyle name="40% - Ênfase1 2 2" xfId="46"/>
    <cellStyle name="40% - Ênfase1 3" xfId="47"/>
    <cellStyle name="40% - Ênfase1 3 2" xfId="48"/>
    <cellStyle name="40% - Ênfase1 4" xfId="49"/>
    <cellStyle name="40% - Ênfase1 5" xfId="50"/>
    <cellStyle name="40% - Ênfase2 2" xfId="51"/>
    <cellStyle name="40% - Ênfase2 2 2" xfId="52"/>
    <cellStyle name="40% - Ênfase2 3" xfId="53"/>
    <cellStyle name="40% - Ênfase2 3 2" xfId="54"/>
    <cellStyle name="40% - Ênfase2 4" xfId="55"/>
    <cellStyle name="40% - Ênfase2 5" xfId="56"/>
    <cellStyle name="40% - Ênfase3 2" xfId="57"/>
    <cellStyle name="40% - Ênfase3 2 2" xfId="58"/>
    <cellStyle name="40% - Ênfase3 3" xfId="59"/>
    <cellStyle name="40% - Ênfase3 3 2" xfId="60"/>
    <cellStyle name="40% - Ênfase3 4" xfId="61"/>
    <cellStyle name="40% - Ênfase3 5" xfId="62"/>
    <cellStyle name="40% - Ênfase4 2" xfId="63"/>
    <cellStyle name="40% - Ênfase4 2 2" xfId="64"/>
    <cellStyle name="40% - Ênfase4 3" xfId="65"/>
    <cellStyle name="40% - Ênfase4 3 2" xfId="66"/>
    <cellStyle name="40% - Ênfase4 4" xfId="67"/>
    <cellStyle name="40% - Ênfase4 5" xfId="68"/>
    <cellStyle name="40% - Ênfase5 2" xfId="69"/>
    <cellStyle name="40% - Ênfase5 2 2" xfId="70"/>
    <cellStyle name="40% - Ênfase5 3" xfId="71"/>
    <cellStyle name="40% - Ênfase5 3 2" xfId="72"/>
    <cellStyle name="40% - Ênfase5 4" xfId="73"/>
    <cellStyle name="40% - Ênfase5 5" xfId="74"/>
    <cellStyle name="40% - Ênfase6 2" xfId="75"/>
    <cellStyle name="40% - Ênfase6 2 2" xfId="76"/>
    <cellStyle name="40% - Ênfase6 3" xfId="77"/>
    <cellStyle name="40% - Ênfase6 3 2" xfId="78"/>
    <cellStyle name="40% - Ênfase6 4" xfId="79"/>
    <cellStyle name="40% - Ênfase6 5" xfId="80"/>
    <cellStyle name="60% - Ênfase1 2" xfId="81"/>
    <cellStyle name="60% - Ênfase1 2 2" xfId="82"/>
    <cellStyle name="60% - Ênfase1 3" xfId="83"/>
    <cellStyle name="60% - Ênfase1 3 2" xfId="84"/>
    <cellStyle name="60% - Ênfase1 4" xfId="85"/>
    <cellStyle name="60% - Ênfase1 5" xfId="86"/>
    <cellStyle name="60% - Ênfase2 2" xfId="87"/>
    <cellStyle name="60% - Ênfase2 2 2" xfId="88"/>
    <cellStyle name="60% - Ênfase2 3" xfId="89"/>
    <cellStyle name="60% - Ênfase2 3 2" xfId="90"/>
    <cellStyle name="60% - Ênfase2 4" xfId="91"/>
    <cellStyle name="60% - Ênfase2 5" xfId="92"/>
    <cellStyle name="60% - Ênfase3 2" xfId="93"/>
    <cellStyle name="60% - Ênfase3 2 2" xfId="94"/>
    <cellStyle name="60% - Ênfase3 3" xfId="95"/>
    <cellStyle name="60% - Ênfase3 3 2" xfId="96"/>
    <cellStyle name="60% - Ênfase3 4" xfId="97"/>
    <cellStyle name="60% - Ênfase3 5" xfId="98"/>
    <cellStyle name="60% - Ênfase4 2" xfId="99"/>
    <cellStyle name="60% - Ênfase4 2 2" xfId="100"/>
    <cellStyle name="60% - Ênfase4 3" xfId="101"/>
    <cellStyle name="60% - Ênfase4 3 2" xfId="102"/>
    <cellStyle name="60% - Ênfase4 4" xfId="103"/>
    <cellStyle name="60% - Ênfase4 5" xfId="104"/>
    <cellStyle name="60% - Ênfase5 2" xfId="105"/>
    <cellStyle name="60% - Ênfase5 2 2" xfId="106"/>
    <cellStyle name="60% - Ênfase5 3" xfId="107"/>
    <cellStyle name="60% - Ênfase5 3 2" xfId="108"/>
    <cellStyle name="60% - Ênfase5 4" xfId="109"/>
    <cellStyle name="60% - Ênfase5 5" xfId="110"/>
    <cellStyle name="60% - Ênfase6 2" xfId="111"/>
    <cellStyle name="60% - Ênfase6 2 2" xfId="112"/>
    <cellStyle name="60% - Ênfase6 3" xfId="113"/>
    <cellStyle name="60% - Ênfase6 3 2" xfId="114"/>
    <cellStyle name="60% - Ênfase6 4" xfId="115"/>
    <cellStyle name="60% - Ênfase6 5" xfId="116"/>
    <cellStyle name="Bom 2" xfId="117"/>
    <cellStyle name="Bom 2 2" xfId="118"/>
    <cellStyle name="Bom 3" xfId="119"/>
    <cellStyle name="Bom 3 2" xfId="120"/>
    <cellStyle name="Bom 4" xfId="121"/>
    <cellStyle name="Bom 5" xfId="122"/>
    <cellStyle name="Cálculo 2" xfId="123"/>
    <cellStyle name="Cálculo 2 2" xfId="124"/>
    <cellStyle name="Cálculo 3" xfId="125"/>
    <cellStyle name="Cálculo 3 2" xfId="126"/>
    <cellStyle name="Cálculo 4" xfId="127"/>
    <cellStyle name="Cálculo 5" xfId="128"/>
    <cellStyle name="Célula de Verificação 2" xfId="129"/>
    <cellStyle name="Célula de Verificação 2 2" xfId="130"/>
    <cellStyle name="Célula de Verificação 3" xfId="131"/>
    <cellStyle name="Célula de Verificação 3 2" xfId="132"/>
    <cellStyle name="Célula de Verificação 4" xfId="133"/>
    <cellStyle name="Célula de Verificação 5" xfId="134"/>
    <cellStyle name="Célula Vinculada 2" xfId="135"/>
    <cellStyle name="Célula Vinculada 2 2" xfId="136"/>
    <cellStyle name="Célula Vinculada 3" xfId="137"/>
    <cellStyle name="Célula Vinculada 3 2" xfId="138"/>
    <cellStyle name="Célula Vinculada 4" xfId="139"/>
    <cellStyle name="Célula Vinculada 5" xfId="140"/>
    <cellStyle name="Ênfase1 2" xfId="141"/>
    <cellStyle name="Ênfase1 2 2" xfId="142"/>
    <cellStyle name="Ênfase1 3" xfId="143"/>
    <cellStyle name="Ênfase1 3 2" xfId="144"/>
    <cellStyle name="Ênfase1 4" xfId="145"/>
    <cellStyle name="Ênfase1 5" xfId="146"/>
    <cellStyle name="Ênfase2 2" xfId="147"/>
    <cellStyle name="Ênfase2 2 2" xfId="148"/>
    <cellStyle name="Ênfase2 3" xfId="149"/>
    <cellStyle name="Ênfase2 3 2" xfId="150"/>
    <cellStyle name="Ênfase2 4" xfId="151"/>
    <cellStyle name="Ênfase2 5" xfId="152"/>
    <cellStyle name="Ênfase3 2" xfId="153"/>
    <cellStyle name="Ênfase3 2 2" xfId="154"/>
    <cellStyle name="Ênfase3 3" xfId="155"/>
    <cellStyle name="Ênfase3 3 2" xfId="156"/>
    <cellStyle name="Ênfase3 4" xfId="157"/>
    <cellStyle name="Ênfase3 5" xfId="158"/>
    <cellStyle name="Ênfase4 2" xfId="159"/>
    <cellStyle name="Ênfase4 2 2" xfId="160"/>
    <cellStyle name="Ênfase4 3" xfId="161"/>
    <cellStyle name="Ênfase4 3 2" xfId="162"/>
    <cellStyle name="Ênfase4 4" xfId="163"/>
    <cellStyle name="Ênfase4 5" xfId="164"/>
    <cellStyle name="Ênfase5 2" xfId="165"/>
    <cellStyle name="Ênfase5 2 2" xfId="166"/>
    <cellStyle name="Ênfase5 3" xfId="167"/>
    <cellStyle name="Ênfase5 3 2" xfId="168"/>
    <cellStyle name="Ênfase5 4" xfId="169"/>
    <cellStyle name="Ênfase5 5" xfId="170"/>
    <cellStyle name="Ênfase6 2" xfId="171"/>
    <cellStyle name="Ênfase6 2 2" xfId="172"/>
    <cellStyle name="Ênfase6 3" xfId="173"/>
    <cellStyle name="Ênfase6 3 2" xfId="174"/>
    <cellStyle name="Ênfase6 4" xfId="175"/>
    <cellStyle name="Ênfase6 5" xfId="176"/>
    <cellStyle name="Entrada 2" xfId="177"/>
    <cellStyle name="Entrada 2 2" xfId="178"/>
    <cellStyle name="Entrada 3" xfId="179"/>
    <cellStyle name="Entrada 3 2" xfId="180"/>
    <cellStyle name="Entrada 4" xfId="181"/>
    <cellStyle name="Entrada 5" xfId="182"/>
    <cellStyle name="Excel Built-in Excel Built-in Normal 2" xfId="183"/>
    <cellStyle name="Excel Built-in Normal" xfId="184"/>
    <cellStyle name="Incorreto 2" xfId="185"/>
    <cellStyle name="Incorreto 2 2" xfId="186"/>
    <cellStyle name="Incorreto 3" xfId="187"/>
    <cellStyle name="Incorreto 3 2" xfId="188"/>
    <cellStyle name="Incorreto 4" xfId="189"/>
    <cellStyle name="Incorreto 5" xfId="190"/>
    <cellStyle name="Moeda" xfId="191" builtinId="4"/>
    <cellStyle name="Moeda 3 2" xfId="192"/>
    <cellStyle name="Moeda 3 3" xfId="193"/>
    <cellStyle name="Moeda 3 4" xfId="194"/>
    <cellStyle name="Moeda 3 5" xfId="195"/>
    <cellStyle name="Neutra 2" xfId="196"/>
    <cellStyle name="Neutra 2 2" xfId="197"/>
    <cellStyle name="Neutra 3" xfId="198"/>
    <cellStyle name="Neutra 3 2" xfId="199"/>
    <cellStyle name="Neutra 4" xfId="200"/>
    <cellStyle name="Neutra 5" xfId="201"/>
    <cellStyle name="Normal" xfId="0" builtinId="0"/>
    <cellStyle name="Normal 2" xfId="202"/>
    <cellStyle name="Normal 2 10" xfId="203"/>
    <cellStyle name="Normal 2 15" xfId="204"/>
    <cellStyle name="Normal 2 2" xfId="205"/>
    <cellStyle name="Normal 2 2 2" xfId="206"/>
    <cellStyle name="Normal 2 3" xfId="207"/>
    <cellStyle name="Normal 2 4" xfId="208"/>
    <cellStyle name="Normal 2 5" xfId="209"/>
    <cellStyle name="Normal 2 6" xfId="210"/>
    <cellStyle name="Normal 2 7" xfId="211"/>
    <cellStyle name="Normal 2 8" xfId="212"/>
    <cellStyle name="Normal 2 9" xfId="213"/>
    <cellStyle name="Normal 2_ORÇ" xfId="214"/>
    <cellStyle name="Normal 3" xfId="215"/>
    <cellStyle name="Normal 3 2" xfId="216"/>
    <cellStyle name="Normal 3 3" xfId="217"/>
    <cellStyle name="Normal 3 3 2" xfId="218"/>
    <cellStyle name="Normal 3 3 2 2" xfId="219"/>
    <cellStyle name="Normal 3 3 3" xfId="220"/>
    <cellStyle name="Normal 3 4" xfId="221"/>
    <cellStyle name="Normal 3 4 2" xfId="222"/>
    <cellStyle name="Normal 3 4 2 2" xfId="223"/>
    <cellStyle name="Normal 3 4 3" xfId="224"/>
    <cellStyle name="Normal 3 5" xfId="225"/>
    <cellStyle name="Normal 3 5 2" xfId="226"/>
    <cellStyle name="Normal 3 5 2 2" xfId="227"/>
    <cellStyle name="Normal 3 5 3" xfId="228"/>
    <cellStyle name="Normal 3 6" xfId="229"/>
    <cellStyle name="Normal 3 7" xfId="230"/>
    <cellStyle name="Normal 3 8" xfId="231"/>
    <cellStyle name="Normal 4 2" xfId="232"/>
    <cellStyle name="Normal 4 3" xfId="233"/>
    <cellStyle name="Normal 4 4" xfId="234"/>
    <cellStyle name="Normal 4 4 2" xfId="235"/>
    <cellStyle name="Normal 4 4 3" xfId="236"/>
    <cellStyle name="Normal 4 4 4" xfId="237"/>
    <cellStyle name="Normal 4 4 5" xfId="238"/>
    <cellStyle name="Normal 4 5" xfId="239"/>
    <cellStyle name="Normal 4 6" xfId="240"/>
    <cellStyle name="Normal 6" xfId="241"/>
    <cellStyle name="Normal 6 2" xfId="242"/>
    <cellStyle name="Normal 6 3" xfId="243"/>
    <cellStyle name="Normal 6 4" xfId="244"/>
    <cellStyle name="Normal 6 5" xfId="245"/>
    <cellStyle name="Normal 7" xfId="246"/>
    <cellStyle name="Normal 9" xfId="247"/>
    <cellStyle name="Nota 2" xfId="248"/>
    <cellStyle name="Nota 2 2" xfId="249"/>
    <cellStyle name="Nota 3" xfId="250"/>
    <cellStyle name="Nota 3 2" xfId="251"/>
    <cellStyle name="Nota 4" xfId="252"/>
    <cellStyle name="Nota 5" xfId="253"/>
    <cellStyle name="Porcentagem" xfId="364" builtinId="5"/>
    <cellStyle name="Porcentagem 2" xfId="254"/>
    <cellStyle name="Porcentagem 2 2" xfId="255"/>
    <cellStyle name="Porcentagem 2 2 2" xfId="256"/>
    <cellStyle name="Porcentagem 2 2 3" xfId="257"/>
    <cellStyle name="Porcentagem 2 3" xfId="258"/>
    <cellStyle name="Porcentagem 2 4" xfId="259"/>
    <cellStyle name="Porcentagem 2 5" xfId="260"/>
    <cellStyle name="Porcentagem 2 5 2" xfId="261"/>
    <cellStyle name="Porcentagem 2 5 3" xfId="262"/>
    <cellStyle name="Porcentagem 2 5 4" xfId="263"/>
    <cellStyle name="Porcentagem 2 5 5" xfId="264"/>
    <cellStyle name="Porcentagem 2 6" xfId="265"/>
    <cellStyle name="Porcentagem 2 7" xfId="266"/>
    <cellStyle name="Porcentagem 2 8" xfId="267"/>
    <cellStyle name="Porcentagem 3" xfId="268"/>
    <cellStyle name="Porcentagem 3 2" xfId="269"/>
    <cellStyle name="Porcentagem 3 3" xfId="270"/>
    <cellStyle name="Porcentagem 3 4" xfId="271"/>
    <cellStyle name="Saída 2" xfId="272"/>
    <cellStyle name="Saída 2 2" xfId="273"/>
    <cellStyle name="Saída 3" xfId="274"/>
    <cellStyle name="Saída 3 2" xfId="275"/>
    <cellStyle name="Saída 4" xfId="276"/>
    <cellStyle name="Saída 5" xfId="277"/>
    <cellStyle name="Separador de milhares 2" xfId="278"/>
    <cellStyle name="Separador de milhares 2 10" xfId="279"/>
    <cellStyle name="Separador de milhares 2 11" xfId="280"/>
    <cellStyle name="Separador de milhares 2 12" xfId="281"/>
    <cellStyle name="Separador de milhares 2 13" xfId="282"/>
    <cellStyle name="Separador de milhares 2 2" xfId="283"/>
    <cellStyle name="Separador de milhares 2 2 2" xfId="284"/>
    <cellStyle name="Separador de milhares 2 2 2 2" xfId="285"/>
    <cellStyle name="Separador de milhares 2 2 2 2 2" xfId="286"/>
    <cellStyle name="Separador de milhares 2 2 2 3" xfId="287"/>
    <cellStyle name="Separador de milhares 2 2 3" xfId="288"/>
    <cellStyle name="Separador de milhares 2 2 4" xfId="289"/>
    <cellStyle name="Separador de milhares 2 2 5" xfId="290"/>
    <cellStyle name="Separador de milhares 2 2 6" xfId="291"/>
    <cellStyle name="Separador de milhares 2 2 6 2" xfId="292"/>
    <cellStyle name="Separador de milhares 2 3" xfId="293"/>
    <cellStyle name="Separador de milhares 2 4" xfId="294"/>
    <cellStyle name="Separador de milhares 2 5" xfId="295"/>
    <cellStyle name="Separador de milhares 2 6" xfId="296"/>
    <cellStyle name="Separador de milhares 2 7" xfId="297"/>
    <cellStyle name="Separador de milhares 2 8" xfId="298"/>
    <cellStyle name="Separador de milhares 2 9" xfId="299"/>
    <cellStyle name="Separador de milhares 3 2" xfId="300"/>
    <cellStyle name="Separador de milhares 3 3" xfId="301"/>
    <cellStyle name="Separador de milhares 6 2" xfId="302"/>
    <cellStyle name="Texto de Aviso 2" xfId="303"/>
    <cellStyle name="Texto de Aviso 2 2" xfId="304"/>
    <cellStyle name="Texto de Aviso 2 2 2" xfId="305"/>
    <cellStyle name="Texto de Aviso 2 2 3" xfId="306"/>
    <cellStyle name="Texto de Aviso 2 2 4" xfId="307"/>
    <cellStyle name="Texto de Aviso 2 3" xfId="308"/>
    <cellStyle name="Texto de Aviso 2 4" xfId="309"/>
    <cellStyle name="Texto de Aviso 2 5" xfId="310"/>
    <cellStyle name="Texto de Aviso 3" xfId="311"/>
    <cellStyle name="Texto de Aviso 3 2" xfId="312"/>
    <cellStyle name="Texto de Aviso 3 2 2" xfId="313"/>
    <cellStyle name="Texto de Aviso 3 2 3" xfId="314"/>
    <cellStyle name="Texto de Aviso 3 2 4" xfId="315"/>
    <cellStyle name="Texto de Aviso 3 3" xfId="316"/>
    <cellStyle name="Texto de Aviso 3 4" xfId="317"/>
    <cellStyle name="Texto de Aviso 3 5" xfId="318"/>
    <cellStyle name="Texto de Aviso 4" xfId="319"/>
    <cellStyle name="Texto de Aviso 4 2" xfId="320"/>
    <cellStyle name="Texto de Aviso 4 3" xfId="321"/>
    <cellStyle name="Texto de Aviso 4 4" xfId="322"/>
    <cellStyle name="Texto de Aviso 5" xfId="323"/>
    <cellStyle name="Texto de Aviso 5 2" xfId="324"/>
    <cellStyle name="Texto de Aviso 5 3" xfId="325"/>
    <cellStyle name="Texto de Aviso 5 4" xfId="326"/>
    <cellStyle name="Texto Explicativo 2" xfId="327"/>
    <cellStyle name="Texto Explicativo 2 2" xfId="328"/>
    <cellStyle name="Texto Explicativo 3" xfId="329"/>
    <cellStyle name="Texto Explicativo 3 2" xfId="330"/>
    <cellStyle name="Texto Explicativo 4" xfId="331"/>
    <cellStyle name="Texto Explicativo 5" xfId="332"/>
    <cellStyle name="Título 1 1" xfId="333"/>
    <cellStyle name="Título 1 2" xfId="334"/>
    <cellStyle name="Título 1 2 2" xfId="335"/>
    <cellStyle name="Título 1 3" xfId="336"/>
    <cellStyle name="Título 1 3 2" xfId="337"/>
    <cellStyle name="Título 1 4" xfId="338"/>
    <cellStyle name="Título 1 5" xfId="339"/>
    <cellStyle name="Título 2 2" xfId="340"/>
    <cellStyle name="Título 2 2 2" xfId="341"/>
    <cellStyle name="Título 2 3" xfId="342"/>
    <cellStyle name="Título 2 3 2" xfId="343"/>
    <cellStyle name="Título 2 4" xfId="344"/>
    <cellStyle name="Título 2 5" xfId="345"/>
    <cellStyle name="Título 3 2" xfId="346"/>
    <cellStyle name="Título 3 2 2" xfId="347"/>
    <cellStyle name="Título 3 3" xfId="348"/>
    <cellStyle name="Título 3 3 2" xfId="349"/>
    <cellStyle name="Título 3 4" xfId="350"/>
    <cellStyle name="Título 3 5" xfId="351"/>
    <cellStyle name="Título 4 2" xfId="352"/>
    <cellStyle name="Título 4 2 2" xfId="353"/>
    <cellStyle name="Título 4 3" xfId="354"/>
    <cellStyle name="Título 4 3 2" xfId="355"/>
    <cellStyle name="Título 4 4" xfId="356"/>
    <cellStyle name="Título 4 5" xfId="357"/>
    <cellStyle name="Total 2" xfId="358"/>
    <cellStyle name="Total 2 2" xfId="359"/>
    <cellStyle name="Total 3" xfId="360"/>
    <cellStyle name="Total 3 2" xfId="361"/>
    <cellStyle name="Total 4" xfId="362"/>
    <cellStyle name="Total 5" xfId="3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0"/>
  <sheetViews>
    <sheetView tabSelected="1" view="pageBreakPreview" zoomScale="80" zoomScaleNormal="84" zoomScaleSheetLayoutView="80" workbookViewId="0">
      <pane ySplit="6" topLeftCell="A192" activePane="bottomLeft" state="frozen"/>
      <selection pane="bottomLeft" activeCell="A199" sqref="A199"/>
    </sheetView>
  </sheetViews>
  <sheetFormatPr defaultRowHeight="15" x14ac:dyDescent="0.25"/>
  <cols>
    <col min="1" max="1" width="9.140625" style="1"/>
    <col min="2" max="2" width="61.5703125" style="2" customWidth="1"/>
    <col min="3" max="3" width="23.5703125" style="2" bestFit="1" customWidth="1"/>
    <col min="4" max="4" width="9.140625" style="3"/>
    <col min="5" max="5" width="9.5703125" style="1" bestFit="1" customWidth="1"/>
    <col min="6" max="6" width="14.42578125" style="1" customWidth="1"/>
    <col min="7" max="7" width="17.85546875" style="1" customWidth="1"/>
    <col min="8" max="8" width="10.5703125" bestFit="1" customWidth="1"/>
    <col min="9" max="9" width="15.28515625" bestFit="1" customWidth="1"/>
  </cols>
  <sheetData>
    <row r="1" spans="1:11" ht="15" customHeight="1" x14ac:dyDescent="0.25">
      <c r="A1" s="37" t="s">
        <v>440</v>
      </c>
      <c r="B1" s="35"/>
      <c r="C1" s="35"/>
      <c r="D1" s="35"/>
      <c r="E1" s="35"/>
      <c r="F1" s="35"/>
      <c r="G1" s="35"/>
    </row>
    <row r="2" spans="1:11" ht="15" customHeight="1" x14ac:dyDescent="0.25">
      <c r="A2" s="37" t="s">
        <v>441</v>
      </c>
      <c r="B2" s="35"/>
      <c r="C2" s="35"/>
      <c r="D2" s="35"/>
      <c r="E2" s="35"/>
      <c r="F2" s="35"/>
      <c r="G2" s="35"/>
    </row>
    <row r="3" spans="1:11" x14ac:dyDescent="0.25">
      <c r="A3" s="37" t="s">
        <v>442</v>
      </c>
      <c r="B3" s="7"/>
      <c r="C3" s="7"/>
      <c r="D3" s="7"/>
      <c r="E3" s="8"/>
      <c r="F3" s="7"/>
      <c r="G3" s="7"/>
    </row>
    <row r="4" spans="1:11" x14ac:dyDescent="0.25">
      <c r="A4" s="9"/>
      <c r="B4" s="157"/>
      <c r="C4" s="157"/>
      <c r="D4" s="157"/>
      <c r="E4" s="157"/>
      <c r="F4" s="157"/>
      <c r="G4" s="10"/>
    </row>
    <row r="5" spans="1:11" ht="15" customHeight="1" x14ac:dyDescent="0.25">
      <c r="A5" s="158" t="s">
        <v>485</v>
      </c>
      <c r="B5" s="158"/>
      <c r="C5" s="158"/>
      <c r="D5" s="158"/>
      <c r="E5" s="158"/>
      <c r="F5" s="158"/>
      <c r="G5" s="158"/>
    </row>
    <row r="6" spans="1:11" s="36" customFormat="1" ht="94.5" x14ac:dyDescent="0.25">
      <c r="A6" s="54" t="s">
        <v>0</v>
      </c>
      <c r="B6" s="54" t="s">
        <v>443</v>
      </c>
      <c r="C6" s="54" t="s">
        <v>448</v>
      </c>
      <c r="D6" s="54" t="s">
        <v>444</v>
      </c>
      <c r="E6" s="55" t="s">
        <v>445</v>
      </c>
      <c r="F6" s="56" t="s">
        <v>446</v>
      </c>
      <c r="G6" s="53" t="s">
        <v>447</v>
      </c>
      <c r="H6" s="108" t="s">
        <v>487</v>
      </c>
      <c r="I6" s="109" t="s">
        <v>488</v>
      </c>
      <c r="J6" s="109" t="s">
        <v>489</v>
      </c>
      <c r="K6" s="109" t="s">
        <v>490</v>
      </c>
    </row>
    <row r="7" spans="1:11" x14ac:dyDescent="0.25">
      <c r="A7" s="159"/>
      <c r="B7" s="159"/>
      <c r="C7" s="159"/>
      <c r="D7" s="159"/>
      <c r="E7" s="159"/>
      <c r="F7" s="159"/>
      <c r="G7" s="159"/>
    </row>
    <row r="8" spans="1:11" s="4" customFormat="1" ht="16.5" x14ac:dyDescent="0.25">
      <c r="A8" s="38" t="s">
        <v>453</v>
      </c>
      <c r="B8" s="154" t="s">
        <v>1</v>
      </c>
      <c r="C8" s="154"/>
      <c r="D8" s="154"/>
      <c r="E8" s="154"/>
      <c r="F8" s="154"/>
      <c r="G8" s="39">
        <f>SUM(G9:G12)</f>
        <v>6034.7932000000001</v>
      </c>
      <c r="H8" s="110"/>
      <c r="I8" s="111"/>
      <c r="J8" s="112"/>
      <c r="K8" s="113">
        <f>SUM(J9:J15)</f>
        <v>0</v>
      </c>
    </row>
    <row r="9" spans="1:11" s="4" customFormat="1" ht="15.75" x14ac:dyDescent="0.25">
      <c r="A9" s="12" t="s">
        <v>3</v>
      </c>
      <c r="B9" s="13" t="s">
        <v>4</v>
      </c>
      <c r="C9" s="11" t="s">
        <v>2</v>
      </c>
      <c r="D9" s="14" t="s">
        <v>5</v>
      </c>
      <c r="E9" s="15">
        <v>447.36</v>
      </c>
      <c r="F9" s="16">
        <v>1.72</v>
      </c>
      <c r="G9" s="16">
        <f>E9*F9</f>
        <v>769.45920000000001</v>
      </c>
      <c r="H9" s="114">
        <f>IF(I9="",0,(I9/F9-1))</f>
        <v>0</v>
      </c>
      <c r="I9" s="115"/>
      <c r="J9" s="116">
        <f>E9*I9</f>
        <v>0</v>
      </c>
      <c r="K9" s="164"/>
    </row>
    <row r="10" spans="1:11" s="4" customFormat="1" ht="24" x14ac:dyDescent="0.25">
      <c r="A10" s="12" t="s">
        <v>7</v>
      </c>
      <c r="B10" s="13" t="s">
        <v>8</v>
      </c>
      <c r="C10" s="11" t="s">
        <v>6</v>
      </c>
      <c r="D10" s="14" t="s">
        <v>5</v>
      </c>
      <c r="E10" s="15">
        <v>200.85</v>
      </c>
      <c r="F10" s="16">
        <v>5.64</v>
      </c>
      <c r="G10" s="16">
        <f>E10*F10</f>
        <v>1132.7939999999999</v>
      </c>
      <c r="H10" s="114">
        <f>IF(I10="",0,(I10/F10-1))</f>
        <v>0</v>
      </c>
      <c r="I10" s="115"/>
      <c r="J10" s="116">
        <f>E10*I10</f>
        <v>0</v>
      </c>
      <c r="K10" s="164"/>
    </row>
    <row r="11" spans="1:11" s="4" customFormat="1" ht="36" x14ac:dyDescent="0.25">
      <c r="A11" s="12" t="s">
        <v>10</v>
      </c>
      <c r="B11" s="17" t="s">
        <v>11</v>
      </c>
      <c r="C11" s="11" t="s">
        <v>9</v>
      </c>
      <c r="D11" s="14" t="s">
        <v>5</v>
      </c>
      <c r="E11" s="15">
        <v>20</v>
      </c>
      <c r="F11" s="16">
        <v>146.06</v>
      </c>
      <c r="G11" s="16">
        <f>E11*F11</f>
        <v>2921.2</v>
      </c>
      <c r="H11" s="114">
        <f>IF(I11="",0,(I11/F11-1))</f>
        <v>0</v>
      </c>
      <c r="I11" s="115"/>
      <c r="J11" s="116">
        <f>E11*I11</f>
        <v>0</v>
      </c>
      <c r="K11" s="164"/>
    </row>
    <row r="12" spans="1:11" s="4" customFormat="1" ht="15.75" x14ac:dyDescent="0.25">
      <c r="A12" s="12" t="s">
        <v>13</v>
      </c>
      <c r="B12" s="17" t="s">
        <v>308</v>
      </c>
      <c r="C12" s="11" t="s">
        <v>12</v>
      </c>
      <c r="D12" s="14" t="s">
        <v>5</v>
      </c>
      <c r="E12" s="15">
        <v>6</v>
      </c>
      <c r="F12" s="16">
        <v>201.89</v>
      </c>
      <c r="G12" s="16">
        <f>E12*F12</f>
        <v>1211.3399999999999</v>
      </c>
      <c r="H12" s="114">
        <f>IF(I12="",0,(I12/F12-1))</f>
        <v>0</v>
      </c>
      <c r="I12" s="115"/>
      <c r="J12" s="116">
        <f>E12*I12</f>
        <v>0</v>
      </c>
      <c r="K12" s="164"/>
    </row>
    <row r="13" spans="1:11" s="121" customFormat="1" ht="15.75" x14ac:dyDescent="0.25">
      <c r="A13" s="155"/>
      <c r="B13" s="155"/>
      <c r="C13" s="155"/>
      <c r="D13" s="155"/>
      <c r="E13" s="155"/>
      <c r="F13" s="155"/>
      <c r="G13" s="155"/>
      <c r="H13" s="118"/>
      <c r="I13" s="119"/>
      <c r="J13" s="120"/>
      <c r="K13" s="117"/>
    </row>
    <row r="14" spans="1:11" s="4" customFormat="1" ht="16.5" x14ac:dyDescent="0.25">
      <c r="A14" s="38" t="s">
        <v>454</v>
      </c>
      <c r="B14" s="154" t="s">
        <v>14</v>
      </c>
      <c r="C14" s="154"/>
      <c r="D14" s="154"/>
      <c r="E14" s="154"/>
      <c r="F14" s="154"/>
      <c r="G14" s="39">
        <f>SUM(G15:G16)</f>
        <v>10703.189199999999</v>
      </c>
      <c r="H14" s="110"/>
      <c r="I14" s="111"/>
      <c r="J14" s="112"/>
      <c r="K14" s="113">
        <f>SUM(J15:J21)</f>
        <v>0</v>
      </c>
    </row>
    <row r="15" spans="1:11" s="4" customFormat="1" ht="24" x14ac:dyDescent="0.25">
      <c r="A15" s="12" t="s">
        <v>408</v>
      </c>
      <c r="B15" s="17" t="s">
        <v>17</v>
      </c>
      <c r="C15" s="11" t="s">
        <v>16</v>
      </c>
      <c r="D15" s="14" t="s">
        <v>15</v>
      </c>
      <c r="E15" s="15">
        <v>146.97999999999999</v>
      </c>
      <c r="F15" s="16">
        <v>67.5</v>
      </c>
      <c r="G15" s="16">
        <f>E15*F15</f>
        <v>9921.15</v>
      </c>
      <c r="H15" s="114">
        <f>IF(I15="",0,(I15/F15-1))</f>
        <v>0</v>
      </c>
      <c r="I15" s="115"/>
      <c r="J15" s="116">
        <f>E15*I15</f>
        <v>0</v>
      </c>
      <c r="K15" s="164"/>
    </row>
    <row r="16" spans="1:11" s="4" customFormat="1" ht="24" x14ac:dyDescent="0.25">
      <c r="A16" s="12" t="s">
        <v>409</v>
      </c>
      <c r="B16" s="17" t="s">
        <v>384</v>
      </c>
      <c r="C16" s="11" t="s">
        <v>385</v>
      </c>
      <c r="D16" s="14" t="s">
        <v>15</v>
      </c>
      <c r="E16" s="15">
        <v>27.92</v>
      </c>
      <c r="F16" s="16">
        <v>28.01</v>
      </c>
      <c r="G16" s="16">
        <f>E16*F16</f>
        <v>782.03920000000005</v>
      </c>
      <c r="H16" s="114">
        <f>IF(I16="",0,(I16/F16-1))</f>
        <v>0</v>
      </c>
      <c r="I16" s="115"/>
      <c r="J16" s="116">
        <f>E16*I16</f>
        <v>0</v>
      </c>
      <c r="K16" s="164"/>
    </row>
    <row r="17" spans="1:11" s="121" customFormat="1" x14ac:dyDescent="0.25">
      <c r="A17" s="155"/>
      <c r="B17" s="155"/>
      <c r="C17" s="155"/>
      <c r="D17" s="155"/>
      <c r="E17" s="155"/>
      <c r="F17" s="155"/>
      <c r="G17" s="155"/>
    </row>
    <row r="18" spans="1:11" s="4" customFormat="1" ht="16.5" x14ac:dyDescent="0.25">
      <c r="A18" s="38" t="s">
        <v>455</v>
      </c>
      <c r="B18" s="154" t="s">
        <v>18</v>
      </c>
      <c r="C18" s="154"/>
      <c r="D18" s="154"/>
      <c r="E18" s="154"/>
      <c r="F18" s="154"/>
      <c r="G18" s="39">
        <f>SUM(G19:G28)</f>
        <v>194552.29940000002</v>
      </c>
      <c r="H18" s="110"/>
      <c r="I18" s="111"/>
      <c r="J18" s="112"/>
      <c r="K18" s="113">
        <f>SUM(J19:J25)</f>
        <v>0</v>
      </c>
    </row>
    <row r="19" spans="1:11" s="4" customFormat="1" ht="24" x14ac:dyDescent="0.25">
      <c r="A19" s="12" t="s">
        <v>19</v>
      </c>
      <c r="B19" s="18" t="s">
        <v>377</v>
      </c>
      <c r="C19" s="11" t="s">
        <v>379</v>
      </c>
      <c r="D19" s="12" t="s">
        <v>15</v>
      </c>
      <c r="E19" s="15">
        <v>5.78</v>
      </c>
      <c r="F19" s="19">
        <v>390.13</v>
      </c>
      <c r="G19" s="20">
        <f>E19*F19</f>
        <v>2254.9513999999999</v>
      </c>
      <c r="H19" s="114">
        <f t="shared" ref="H19:H28" si="0">IF(I19="",0,(I19/F19-1))</f>
        <v>0</v>
      </c>
      <c r="I19" s="115"/>
      <c r="J19" s="116">
        <f t="shared" ref="J19:J25" si="1">E19*I19</f>
        <v>0</v>
      </c>
      <c r="K19" s="125"/>
    </row>
    <row r="20" spans="1:11" s="4" customFormat="1" ht="24" x14ac:dyDescent="0.25">
      <c r="A20" s="12" t="s">
        <v>20</v>
      </c>
      <c r="B20" s="18" t="s">
        <v>378</v>
      </c>
      <c r="C20" s="11" t="s">
        <v>34</v>
      </c>
      <c r="D20" s="12" t="s">
        <v>15</v>
      </c>
      <c r="E20" s="15">
        <v>17</v>
      </c>
      <c r="F20" s="19">
        <v>360.05</v>
      </c>
      <c r="G20" s="20">
        <f t="shared" ref="G20:G28" si="2">E20*F20</f>
        <v>6120.85</v>
      </c>
      <c r="H20" s="114">
        <f t="shared" si="0"/>
        <v>0</v>
      </c>
      <c r="I20" s="115"/>
      <c r="J20" s="116">
        <f t="shared" si="1"/>
        <v>0</v>
      </c>
      <c r="K20" s="126"/>
    </row>
    <row r="21" spans="1:11" s="4" customFormat="1" ht="24" x14ac:dyDescent="0.25">
      <c r="A21" s="12" t="s">
        <v>21</v>
      </c>
      <c r="B21" s="18" t="s">
        <v>498</v>
      </c>
      <c r="C21" s="11" t="s">
        <v>497</v>
      </c>
      <c r="D21" s="12" t="s">
        <v>5</v>
      </c>
      <c r="E21" s="15">
        <v>216.2</v>
      </c>
      <c r="F21" s="16">
        <v>35.409999999999997</v>
      </c>
      <c r="G21" s="20">
        <f t="shared" si="2"/>
        <v>7655.6419999999989</v>
      </c>
      <c r="H21" s="114">
        <f t="shared" si="0"/>
        <v>0</v>
      </c>
      <c r="I21" s="115"/>
      <c r="J21" s="116">
        <f t="shared" si="1"/>
        <v>0</v>
      </c>
      <c r="K21" s="126"/>
    </row>
    <row r="22" spans="1:11" s="4" customFormat="1" ht="24" x14ac:dyDescent="0.25">
      <c r="A22" s="12" t="s">
        <v>23</v>
      </c>
      <c r="B22" s="17" t="s">
        <v>24</v>
      </c>
      <c r="C22" s="11" t="s">
        <v>22</v>
      </c>
      <c r="D22" s="14" t="s">
        <v>25</v>
      </c>
      <c r="E22" s="15">
        <v>3151.22</v>
      </c>
      <c r="F22" s="15">
        <v>6.34</v>
      </c>
      <c r="G22" s="20">
        <f t="shared" si="2"/>
        <v>19978.734799999998</v>
      </c>
      <c r="H22" s="114">
        <f t="shared" si="0"/>
        <v>0</v>
      </c>
      <c r="I22" s="115"/>
      <c r="J22" s="116">
        <f t="shared" si="1"/>
        <v>0</v>
      </c>
      <c r="K22" s="126"/>
    </row>
    <row r="23" spans="1:11" s="4" customFormat="1" ht="34.5" customHeight="1" x14ac:dyDescent="0.25">
      <c r="A23" s="12" t="s">
        <v>26</v>
      </c>
      <c r="B23" s="17" t="s">
        <v>380</v>
      </c>
      <c r="C23" s="11" t="s">
        <v>381</v>
      </c>
      <c r="D23" s="14" t="s">
        <v>25</v>
      </c>
      <c r="E23" s="15">
        <v>4548.18</v>
      </c>
      <c r="F23" s="16">
        <v>5.64</v>
      </c>
      <c r="G23" s="20">
        <f t="shared" si="2"/>
        <v>25651.735199999999</v>
      </c>
      <c r="H23" s="114">
        <f t="shared" si="0"/>
        <v>0</v>
      </c>
      <c r="I23" s="115"/>
      <c r="J23" s="116">
        <f t="shared" si="1"/>
        <v>0</v>
      </c>
      <c r="K23" s="126"/>
    </row>
    <row r="24" spans="1:11" s="5" customFormat="1" ht="24" x14ac:dyDescent="0.25">
      <c r="A24" s="22" t="s">
        <v>28</v>
      </c>
      <c r="B24" s="25" t="s">
        <v>493</v>
      </c>
      <c r="C24" s="21" t="s">
        <v>492</v>
      </c>
      <c r="D24" s="22" t="s">
        <v>494</v>
      </c>
      <c r="E24" s="15">
        <v>1.37</v>
      </c>
      <c r="F24" s="15">
        <f>256.84</f>
        <v>256.83999999999997</v>
      </c>
      <c r="G24" s="20">
        <f t="shared" si="2"/>
        <v>351.87079999999997</v>
      </c>
      <c r="H24" s="114">
        <f t="shared" si="0"/>
        <v>0</v>
      </c>
      <c r="I24" s="115"/>
      <c r="J24" s="116">
        <f t="shared" si="1"/>
        <v>0</v>
      </c>
      <c r="K24" s="126"/>
    </row>
    <row r="25" spans="1:11" s="4" customFormat="1" ht="24" x14ac:dyDescent="0.25">
      <c r="A25" s="12" t="s">
        <v>30</v>
      </c>
      <c r="B25" s="17" t="s">
        <v>29</v>
      </c>
      <c r="C25" s="11" t="s">
        <v>27</v>
      </c>
      <c r="D25" s="14" t="s">
        <v>15</v>
      </c>
      <c r="E25" s="15">
        <v>10.92</v>
      </c>
      <c r="F25" s="15">
        <v>293.24</v>
      </c>
      <c r="G25" s="20">
        <f t="shared" si="2"/>
        <v>3202.1808000000001</v>
      </c>
      <c r="H25" s="114">
        <f t="shared" si="0"/>
        <v>0</v>
      </c>
      <c r="I25" s="115"/>
      <c r="J25" s="116">
        <f t="shared" si="1"/>
        <v>0</v>
      </c>
      <c r="K25" s="126"/>
    </row>
    <row r="26" spans="1:11" s="6" customFormat="1" ht="24" x14ac:dyDescent="0.25">
      <c r="A26" s="22" t="s">
        <v>31</v>
      </c>
      <c r="B26" s="23" t="s">
        <v>417</v>
      </c>
      <c r="C26" s="21" t="s">
        <v>418</v>
      </c>
      <c r="D26" s="14" t="s">
        <v>5</v>
      </c>
      <c r="E26" s="15">
        <v>367.44</v>
      </c>
      <c r="F26" s="15">
        <v>12.86</v>
      </c>
      <c r="G26" s="20">
        <f t="shared" si="2"/>
        <v>4725.2784000000001</v>
      </c>
      <c r="H26" s="114">
        <f t="shared" si="0"/>
        <v>0</v>
      </c>
      <c r="I26" s="115"/>
      <c r="J26" s="116">
        <f t="shared" ref="J26:J28" si="3">E26*I26</f>
        <v>0</v>
      </c>
      <c r="K26" s="126"/>
    </row>
    <row r="27" spans="1:11" s="4" customFormat="1" ht="24" x14ac:dyDescent="0.25">
      <c r="A27" s="12" t="s">
        <v>32</v>
      </c>
      <c r="B27" s="17" t="s">
        <v>496</v>
      </c>
      <c r="C27" s="11" t="s">
        <v>495</v>
      </c>
      <c r="D27" s="14" t="s">
        <v>15</v>
      </c>
      <c r="E27" s="15">
        <f>103.5+103.5+36.8</f>
        <v>243.8</v>
      </c>
      <c r="F27" s="15">
        <f>174.7</f>
        <v>174.7</v>
      </c>
      <c r="G27" s="20">
        <f t="shared" si="2"/>
        <v>42591.86</v>
      </c>
      <c r="H27" s="114">
        <f t="shared" si="0"/>
        <v>0</v>
      </c>
      <c r="I27" s="115"/>
      <c r="J27" s="116">
        <f t="shared" si="3"/>
        <v>0</v>
      </c>
      <c r="K27" s="126"/>
    </row>
    <row r="28" spans="1:11" s="4" customFormat="1" ht="36" x14ac:dyDescent="0.25">
      <c r="A28" s="12" t="s">
        <v>387</v>
      </c>
      <c r="B28" s="17" t="s">
        <v>386</v>
      </c>
      <c r="C28" s="11" t="s">
        <v>383</v>
      </c>
      <c r="D28" s="14" t="s">
        <v>15</v>
      </c>
      <c r="E28" s="15">
        <f>36.8+207</f>
        <v>243.8</v>
      </c>
      <c r="F28" s="15">
        <v>336.42</v>
      </c>
      <c r="G28" s="20">
        <f t="shared" si="2"/>
        <v>82019.196000000011</v>
      </c>
      <c r="H28" s="114">
        <f t="shared" si="0"/>
        <v>0</v>
      </c>
      <c r="I28" s="115"/>
      <c r="J28" s="116">
        <f t="shared" si="3"/>
        <v>0</v>
      </c>
      <c r="K28" s="126"/>
    </row>
    <row r="29" spans="1:11" s="121" customFormat="1" x14ac:dyDescent="0.25">
      <c r="A29" s="155"/>
      <c r="B29" s="155"/>
      <c r="C29" s="155"/>
      <c r="D29" s="155"/>
      <c r="E29" s="155"/>
      <c r="F29" s="155"/>
      <c r="G29" s="155"/>
    </row>
    <row r="30" spans="1:11" s="4" customFormat="1" ht="16.5" x14ac:dyDescent="0.25">
      <c r="A30" s="38" t="s">
        <v>456</v>
      </c>
      <c r="B30" s="154" t="s">
        <v>33</v>
      </c>
      <c r="C30" s="154"/>
      <c r="D30" s="154"/>
      <c r="E30" s="154"/>
      <c r="F30" s="154"/>
      <c r="G30" s="39">
        <f>SUM(G31:G36)</f>
        <v>115737.97250000002</v>
      </c>
      <c r="H30" s="110"/>
      <c r="I30" s="111"/>
      <c r="J30" s="112"/>
      <c r="K30" s="113">
        <f>SUM(J31:J37)</f>
        <v>0</v>
      </c>
    </row>
    <row r="31" spans="1:11" s="4" customFormat="1" ht="24" x14ac:dyDescent="0.25">
      <c r="A31" s="12" t="s">
        <v>35</v>
      </c>
      <c r="B31" s="17" t="s">
        <v>377</v>
      </c>
      <c r="C31" s="11" t="s">
        <v>34</v>
      </c>
      <c r="D31" s="14" t="s">
        <v>15</v>
      </c>
      <c r="E31" s="15">
        <v>66.23</v>
      </c>
      <c r="F31" s="16">
        <v>360.05</v>
      </c>
      <c r="G31" s="16">
        <f t="shared" ref="G31:G36" si="4">E31*F31</f>
        <v>23846.111500000003</v>
      </c>
      <c r="H31" s="114">
        <f t="shared" ref="H31:H36" si="5">IF(I31="",0,(I31/F31-1))</f>
        <v>0</v>
      </c>
      <c r="I31" s="115"/>
      <c r="J31" s="116">
        <f t="shared" ref="J31:J36" si="6">E31*I31</f>
        <v>0</v>
      </c>
      <c r="K31" s="160"/>
    </row>
    <row r="32" spans="1:11" s="4" customFormat="1" ht="48" x14ac:dyDescent="0.25">
      <c r="A32" s="12" t="s">
        <v>36</v>
      </c>
      <c r="B32" s="17" t="s">
        <v>499</v>
      </c>
      <c r="C32" s="11" t="s">
        <v>500</v>
      </c>
      <c r="D32" s="14" t="s">
        <v>5</v>
      </c>
      <c r="E32" s="15">
        <v>763.5</v>
      </c>
      <c r="F32" s="16">
        <v>29.97</v>
      </c>
      <c r="G32" s="16">
        <f t="shared" si="4"/>
        <v>22882.094999999998</v>
      </c>
      <c r="H32" s="114">
        <f t="shared" si="5"/>
        <v>0</v>
      </c>
      <c r="I32" s="115"/>
      <c r="J32" s="116">
        <f t="shared" si="6"/>
        <v>0</v>
      </c>
      <c r="K32" s="160"/>
    </row>
    <row r="33" spans="1:11" s="4" customFormat="1" ht="24" x14ac:dyDescent="0.25">
      <c r="A33" s="12" t="s">
        <v>37</v>
      </c>
      <c r="B33" s="17" t="s">
        <v>38</v>
      </c>
      <c r="C33" s="11" t="s">
        <v>22</v>
      </c>
      <c r="D33" s="14" t="s">
        <v>25</v>
      </c>
      <c r="E33" s="15">
        <v>5866</v>
      </c>
      <c r="F33" s="16">
        <v>6.34</v>
      </c>
      <c r="G33" s="16">
        <f t="shared" si="4"/>
        <v>37190.44</v>
      </c>
      <c r="H33" s="114">
        <f t="shared" si="5"/>
        <v>0</v>
      </c>
      <c r="I33" s="115"/>
      <c r="J33" s="116">
        <f t="shared" si="6"/>
        <v>0</v>
      </c>
      <c r="K33" s="160"/>
    </row>
    <row r="34" spans="1:11" s="4" customFormat="1" ht="24" x14ac:dyDescent="0.25">
      <c r="A34" s="12" t="s">
        <v>40</v>
      </c>
      <c r="B34" s="17" t="s">
        <v>380</v>
      </c>
      <c r="C34" s="11" t="s">
        <v>381</v>
      </c>
      <c r="D34" s="14" t="s">
        <v>25</v>
      </c>
      <c r="E34" s="15">
        <v>242</v>
      </c>
      <c r="F34" s="16">
        <v>5.64</v>
      </c>
      <c r="G34" s="16">
        <f t="shared" si="4"/>
        <v>1364.8799999999999</v>
      </c>
      <c r="H34" s="114">
        <f t="shared" si="5"/>
        <v>0</v>
      </c>
      <c r="I34" s="115"/>
      <c r="J34" s="116">
        <f t="shared" si="6"/>
        <v>0</v>
      </c>
      <c r="K34" s="160"/>
    </row>
    <row r="35" spans="1:11" s="4" customFormat="1" ht="36" x14ac:dyDescent="0.25">
      <c r="A35" s="12" t="s">
        <v>42</v>
      </c>
      <c r="B35" s="17" t="s">
        <v>407</v>
      </c>
      <c r="C35" s="11" t="s">
        <v>39</v>
      </c>
      <c r="D35" s="14" t="s">
        <v>5</v>
      </c>
      <c r="E35" s="15">
        <v>367.44</v>
      </c>
      <c r="F35" s="16">
        <v>80.650000000000006</v>
      </c>
      <c r="G35" s="16">
        <f t="shared" si="4"/>
        <v>29634.036000000004</v>
      </c>
      <c r="H35" s="114">
        <f t="shared" si="5"/>
        <v>0</v>
      </c>
      <c r="I35" s="115"/>
      <c r="J35" s="116">
        <f t="shared" si="6"/>
        <v>0</v>
      </c>
      <c r="K35" s="160"/>
    </row>
    <row r="36" spans="1:11" s="4" customFormat="1" ht="37.5" customHeight="1" x14ac:dyDescent="0.25">
      <c r="A36" s="12" t="s">
        <v>382</v>
      </c>
      <c r="B36" s="17" t="s">
        <v>43</v>
      </c>
      <c r="C36" s="11" t="s">
        <v>41</v>
      </c>
      <c r="D36" s="14" t="s">
        <v>44</v>
      </c>
      <c r="E36" s="15">
        <v>69</v>
      </c>
      <c r="F36" s="16">
        <v>11.89</v>
      </c>
      <c r="G36" s="16">
        <f t="shared" si="4"/>
        <v>820.41000000000008</v>
      </c>
      <c r="H36" s="114">
        <f t="shared" si="5"/>
        <v>0</v>
      </c>
      <c r="I36" s="115"/>
      <c r="J36" s="116">
        <f t="shared" si="6"/>
        <v>0</v>
      </c>
      <c r="K36" s="160"/>
    </row>
    <row r="37" spans="1:11" s="121" customFormat="1" x14ac:dyDescent="0.25">
      <c r="A37" s="155"/>
      <c r="B37" s="155"/>
      <c r="C37" s="155"/>
      <c r="D37" s="155"/>
      <c r="E37" s="155"/>
      <c r="F37" s="155"/>
      <c r="G37" s="155"/>
    </row>
    <row r="38" spans="1:11" s="4" customFormat="1" ht="16.5" x14ac:dyDescent="0.25">
      <c r="A38" s="38" t="s">
        <v>457</v>
      </c>
      <c r="B38" s="154" t="s">
        <v>45</v>
      </c>
      <c r="C38" s="154"/>
      <c r="D38" s="154"/>
      <c r="E38" s="154"/>
      <c r="F38" s="154"/>
      <c r="G38" s="39">
        <f>SUM(G39:G43)</f>
        <v>30658.12</v>
      </c>
      <c r="H38" s="110"/>
      <c r="I38" s="111"/>
      <c r="J38" s="112"/>
      <c r="K38" s="113">
        <f>SUM(J39:J45)</f>
        <v>0</v>
      </c>
    </row>
    <row r="39" spans="1:11" s="4" customFormat="1" ht="24" x14ac:dyDescent="0.25">
      <c r="A39" s="12" t="s">
        <v>46</v>
      </c>
      <c r="B39" s="17" t="s">
        <v>502</v>
      </c>
      <c r="C39" s="11" t="s">
        <v>501</v>
      </c>
      <c r="D39" s="14" t="s">
        <v>5</v>
      </c>
      <c r="E39" s="15">
        <v>400</v>
      </c>
      <c r="F39" s="16">
        <v>57.52</v>
      </c>
      <c r="G39" s="16">
        <f>E39*F39</f>
        <v>23008</v>
      </c>
      <c r="H39" s="114">
        <f>IF(I39="",0,(I39/F39-1))</f>
        <v>0</v>
      </c>
      <c r="I39" s="115"/>
      <c r="J39" s="116">
        <f>E39*I39</f>
        <v>0</v>
      </c>
      <c r="K39" s="160"/>
    </row>
    <row r="40" spans="1:11" s="4" customFormat="1" ht="15.75" x14ac:dyDescent="0.25">
      <c r="A40" s="12" t="s">
        <v>48</v>
      </c>
      <c r="B40" s="17" t="s">
        <v>49</v>
      </c>
      <c r="C40" s="11" t="s">
        <v>47</v>
      </c>
      <c r="D40" s="14" t="s">
        <v>44</v>
      </c>
      <c r="E40" s="15">
        <v>260</v>
      </c>
      <c r="F40" s="16">
        <v>13.81</v>
      </c>
      <c r="G40" s="16">
        <f>E40*F40</f>
        <v>3590.6</v>
      </c>
      <c r="H40" s="114">
        <f>IF(I40="",0,(I40/F40-1))</f>
        <v>0</v>
      </c>
      <c r="I40" s="115"/>
      <c r="J40" s="116">
        <f>E40*I40</f>
        <v>0</v>
      </c>
      <c r="K40" s="160"/>
    </row>
    <row r="41" spans="1:11" s="4" customFormat="1" ht="24" x14ac:dyDescent="0.25">
      <c r="A41" s="12" t="s">
        <v>51</v>
      </c>
      <c r="B41" s="17" t="s">
        <v>52</v>
      </c>
      <c r="C41" s="11" t="s">
        <v>50</v>
      </c>
      <c r="D41" s="14" t="s">
        <v>44</v>
      </c>
      <c r="E41" s="15">
        <v>12</v>
      </c>
      <c r="F41" s="16">
        <v>42.21</v>
      </c>
      <c r="G41" s="16">
        <f>E41*F41</f>
        <v>506.52</v>
      </c>
      <c r="H41" s="114">
        <f>IF(I41="",0,(I41/F41-1))</f>
        <v>0</v>
      </c>
      <c r="I41" s="115"/>
      <c r="J41" s="116">
        <f>E41*I41</f>
        <v>0</v>
      </c>
      <c r="K41" s="160"/>
    </row>
    <row r="42" spans="1:11" s="4" customFormat="1" ht="24" x14ac:dyDescent="0.25">
      <c r="A42" s="12" t="s">
        <v>54</v>
      </c>
      <c r="B42" s="17" t="s">
        <v>55</v>
      </c>
      <c r="C42" s="11" t="s">
        <v>53</v>
      </c>
      <c r="D42" s="14" t="s">
        <v>5</v>
      </c>
      <c r="E42" s="15">
        <v>100</v>
      </c>
      <c r="F42" s="16">
        <v>17.87</v>
      </c>
      <c r="G42" s="16">
        <f>E42*F42</f>
        <v>1787</v>
      </c>
      <c r="H42" s="114">
        <f>IF(I42="",0,(I42/F42-1))</f>
        <v>0</v>
      </c>
      <c r="I42" s="115"/>
      <c r="J42" s="116">
        <f>E42*I42</f>
        <v>0</v>
      </c>
      <c r="K42" s="160"/>
    </row>
    <row r="43" spans="1:11" s="4" customFormat="1" ht="24" x14ac:dyDescent="0.25">
      <c r="A43" s="12" t="s">
        <v>57</v>
      </c>
      <c r="B43" s="17" t="s">
        <v>58</v>
      </c>
      <c r="C43" s="11" t="s">
        <v>56</v>
      </c>
      <c r="D43" s="14" t="s">
        <v>5</v>
      </c>
      <c r="E43" s="15">
        <v>100</v>
      </c>
      <c r="F43" s="16">
        <v>17.66</v>
      </c>
      <c r="G43" s="16">
        <f>E43*F43</f>
        <v>1766</v>
      </c>
      <c r="H43" s="114">
        <f>IF(I43="",0,(I43/F43-1))</f>
        <v>0</v>
      </c>
      <c r="I43" s="115"/>
      <c r="J43" s="116">
        <f>E43*I43</f>
        <v>0</v>
      </c>
      <c r="K43" s="160"/>
    </row>
    <row r="44" spans="1:11" s="121" customFormat="1" x14ac:dyDescent="0.25">
      <c r="A44" s="155"/>
      <c r="B44" s="155"/>
      <c r="C44" s="155"/>
      <c r="D44" s="155"/>
      <c r="E44" s="155"/>
      <c r="F44" s="155"/>
      <c r="G44" s="155"/>
    </row>
    <row r="45" spans="1:11" s="4" customFormat="1" ht="16.5" x14ac:dyDescent="0.25">
      <c r="A45" s="38" t="s">
        <v>458</v>
      </c>
      <c r="B45" s="154" t="s">
        <v>59</v>
      </c>
      <c r="C45" s="154"/>
      <c r="D45" s="154"/>
      <c r="E45" s="154"/>
      <c r="F45" s="154"/>
      <c r="G45" s="39">
        <f>SUM(G46:G46)</f>
        <v>25165.5</v>
      </c>
      <c r="H45" s="110"/>
      <c r="I45" s="111"/>
      <c r="J45" s="112"/>
      <c r="K45" s="113">
        <f>SUM(J46:J52)</f>
        <v>0</v>
      </c>
    </row>
    <row r="46" spans="1:11" s="4" customFormat="1" ht="36" x14ac:dyDescent="0.25">
      <c r="A46" s="12" t="s">
        <v>61</v>
      </c>
      <c r="B46" s="17" t="s">
        <v>62</v>
      </c>
      <c r="C46" s="11" t="s">
        <v>60</v>
      </c>
      <c r="D46" s="14" t="s">
        <v>5</v>
      </c>
      <c r="E46" s="15">
        <v>950</v>
      </c>
      <c r="F46" s="16">
        <v>26.49</v>
      </c>
      <c r="G46" s="16">
        <f>E46*F46</f>
        <v>25165.5</v>
      </c>
      <c r="H46" s="114">
        <f>IF(I46="",0,(I46/F46-1))</f>
        <v>0</v>
      </c>
      <c r="I46" s="115"/>
      <c r="J46" s="116">
        <f>E46*I46</f>
        <v>0</v>
      </c>
      <c r="K46" s="123"/>
    </row>
    <row r="47" spans="1:11" s="121" customFormat="1" x14ac:dyDescent="0.25">
      <c r="A47" s="155"/>
      <c r="B47" s="155"/>
      <c r="C47" s="155"/>
      <c r="D47" s="155"/>
      <c r="E47" s="155"/>
      <c r="F47" s="155"/>
      <c r="G47" s="155"/>
    </row>
    <row r="48" spans="1:11" s="4" customFormat="1" ht="16.5" x14ac:dyDescent="0.25">
      <c r="A48" s="38" t="s">
        <v>459</v>
      </c>
      <c r="B48" s="154" t="s">
        <v>63</v>
      </c>
      <c r="C48" s="154"/>
      <c r="D48" s="154"/>
      <c r="E48" s="154"/>
      <c r="F48" s="154"/>
      <c r="G48" s="39">
        <f>SUM(G49:G51)</f>
        <v>40217.61</v>
      </c>
      <c r="H48" s="110"/>
      <c r="I48" s="111"/>
      <c r="J48" s="112"/>
      <c r="K48" s="113">
        <f>SUM(J49:J55)</f>
        <v>0</v>
      </c>
    </row>
    <row r="49" spans="1:11" s="4" customFormat="1" ht="24" x14ac:dyDescent="0.25">
      <c r="A49" s="12" t="s">
        <v>65</v>
      </c>
      <c r="B49" s="17" t="s">
        <v>66</v>
      </c>
      <c r="C49" s="11" t="s">
        <v>64</v>
      </c>
      <c r="D49" s="14" t="s">
        <v>5</v>
      </c>
      <c r="E49" s="15">
        <v>2523</v>
      </c>
      <c r="F49" s="16">
        <v>3</v>
      </c>
      <c r="G49" s="16">
        <f>E49*F49</f>
        <v>7569</v>
      </c>
      <c r="H49" s="114">
        <f>IF(I49="",0,(I49/F49-1))</f>
        <v>0</v>
      </c>
      <c r="I49" s="115"/>
      <c r="J49" s="116">
        <f>E49*I49</f>
        <v>0</v>
      </c>
      <c r="K49" s="160"/>
    </row>
    <row r="50" spans="1:11" s="4" customFormat="1" ht="24" x14ac:dyDescent="0.25">
      <c r="A50" s="12" t="s">
        <v>67</v>
      </c>
      <c r="B50" s="17" t="s">
        <v>503</v>
      </c>
      <c r="C50" s="11" t="s">
        <v>505</v>
      </c>
      <c r="D50" s="14" t="s">
        <v>5</v>
      </c>
      <c r="E50" s="15">
        <v>623</v>
      </c>
      <c r="F50" s="16">
        <v>14.07</v>
      </c>
      <c r="G50" s="16">
        <f>E50*F50</f>
        <v>8765.61</v>
      </c>
      <c r="H50" s="114">
        <f>IF(I50="",0,(I50/F50-1))</f>
        <v>0</v>
      </c>
      <c r="I50" s="115"/>
      <c r="J50" s="116">
        <f>E50*I50</f>
        <v>0</v>
      </c>
      <c r="K50" s="160"/>
    </row>
    <row r="51" spans="1:11" s="4" customFormat="1" ht="24" x14ac:dyDescent="0.25">
      <c r="A51" s="12" t="s">
        <v>68</v>
      </c>
      <c r="B51" s="17" t="s">
        <v>504</v>
      </c>
      <c r="C51" s="11" t="s">
        <v>506</v>
      </c>
      <c r="D51" s="14" t="s">
        <v>5</v>
      </c>
      <c r="E51" s="15">
        <v>1900</v>
      </c>
      <c r="F51" s="16">
        <v>12.57</v>
      </c>
      <c r="G51" s="16">
        <f>E51*F51</f>
        <v>23883</v>
      </c>
      <c r="H51" s="114">
        <f>IF(I51="",0,(I51/F51-1))</f>
        <v>0</v>
      </c>
      <c r="I51" s="115"/>
      <c r="J51" s="116">
        <f>E51*I51</f>
        <v>0</v>
      </c>
      <c r="K51" s="160"/>
    </row>
    <row r="52" spans="1:11" s="121" customFormat="1" x14ac:dyDescent="0.25">
      <c r="A52" s="155"/>
      <c r="B52" s="155"/>
      <c r="C52" s="155"/>
      <c r="D52" s="155"/>
      <c r="E52" s="155"/>
      <c r="F52" s="155"/>
      <c r="G52" s="155"/>
    </row>
    <row r="53" spans="1:11" s="4" customFormat="1" ht="16.5" x14ac:dyDescent="0.25">
      <c r="A53" s="38" t="s">
        <v>460</v>
      </c>
      <c r="B53" s="154" t="s">
        <v>69</v>
      </c>
      <c r="C53" s="154"/>
      <c r="D53" s="154"/>
      <c r="E53" s="154"/>
      <c r="F53" s="154"/>
      <c r="G53" s="39">
        <f>SUM(G54:G60)</f>
        <v>40134.032599999999</v>
      </c>
      <c r="H53" s="110"/>
      <c r="I53" s="111"/>
      <c r="J53" s="112"/>
      <c r="K53" s="113">
        <f>SUM(J54:J60)</f>
        <v>0</v>
      </c>
    </row>
    <row r="54" spans="1:11" s="4" customFormat="1" ht="24" x14ac:dyDescent="0.25">
      <c r="A54" s="12" t="s">
        <v>71</v>
      </c>
      <c r="B54" s="17" t="s">
        <v>72</v>
      </c>
      <c r="C54" s="11" t="s">
        <v>70</v>
      </c>
      <c r="D54" s="14" t="s">
        <v>5</v>
      </c>
      <c r="E54" s="15">
        <v>1900</v>
      </c>
      <c r="F54" s="16">
        <v>7.01</v>
      </c>
      <c r="G54" s="20">
        <f>E54*F54</f>
        <v>13319</v>
      </c>
      <c r="H54" s="114">
        <f t="shared" ref="H54:H60" si="7">IF(I54="",0,(I54/F54-1))</f>
        <v>0</v>
      </c>
      <c r="I54" s="115"/>
      <c r="J54" s="116">
        <f t="shared" ref="J54:J59" si="8">E54*I54</f>
        <v>0</v>
      </c>
      <c r="K54" s="160"/>
    </row>
    <row r="55" spans="1:11" s="4" customFormat="1" ht="15.75" x14ac:dyDescent="0.25">
      <c r="A55" s="12" t="s">
        <v>74</v>
      </c>
      <c r="B55" s="17" t="s">
        <v>75</v>
      </c>
      <c r="C55" s="11" t="s">
        <v>73</v>
      </c>
      <c r="D55" s="14" t="s">
        <v>5</v>
      </c>
      <c r="E55" s="15">
        <v>1900</v>
      </c>
      <c r="F55" s="16">
        <v>6.19</v>
      </c>
      <c r="G55" s="20">
        <f t="shared" ref="G55:G60" si="9">E55*F55</f>
        <v>11761</v>
      </c>
      <c r="H55" s="114">
        <f t="shared" si="7"/>
        <v>0</v>
      </c>
      <c r="I55" s="115"/>
      <c r="J55" s="116">
        <f t="shared" si="8"/>
        <v>0</v>
      </c>
      <c r="K55" s="160"/>
    </row>
    <row r="56" spans="1:11" s="4" customFormat="1" ht="24" x14ac:dyDescent="0.25">
      <c r="A56" s="12" t="s">
        <v>77</v>
      </c>
      <c r="B56" s="17" t="s">
        <v>78</v>
      </c>
      <c r="C56" s="11" t="s">
        <v>76</v>
      </c>
      <c r="D56" s="14" t="s">
        <v>5</v>
      </c>
      <c r="E56" s="15">
        <v>623</v>
      </c>
      <c r="F56" s="16">
        <v>8.99</v>
      </c>
      <c r="G56" s="20">
        <f t="shared" si="9"/>
        <v>5600.77</v>
      </c>
      <c r="H56" s="114">
        <f t="shared" si="7"/>
        <v>0</v>
      </c>
      <c r="I56" s="115"/>
      <c r="J56" s="116">
        <f t="shared" si="8"/>
        <v>0</v>
      </c>
      <c r="K56" s="160"/>
    </row>
    <row r="57" spans="1:11" s="4" customFormat="1" ht="24" x14ac:dyDescent="0.25">
      <c r="A57" s="12" t="s">
        <v>80</v>
      </c>
      <c r="B57" s="17" t="s">
        <v>81</v>
      </c>
      <c r="C57" s="11" t="s">
        <v>79</v>
      </c>
      <c r="D57" s="14" t="s">
        <v>5</v>
      </c>
      <c r="E57" s="15">
        <v>623</v>
      </c>
      <c r="F57" s="16">
        <v>6.62</v>
      </c>
      <c r="G57" s="20">
        <f t="shared" si="9"/>
        <v>4124.26</v>
      </c>
      <c r="H57" s="114">
        <f t="shared" si="7"/>
        <v>0</v>
      </c>
      <c r="I57" s="115"/>
      <c r="J57" s="116">
        <f t="shared" si="8"/>
        <v>0</v>
      </c>
      <c r="K57" s="160"/>
    </row>
    <row r="58" spans="1:11" s="4" customFormat="1" ht="15.75" x14ac:dyDescent="0.25">
      <c r="A58" s="12" t="s">
        <v>83</v>
      </c>
      <c r="B58" s="17" t="s">
        <v>84</v>
      </c>
      <c r="C58" s="11" t="s">
        <v>82</v>
      </c>
      <c r="D58" s="14" t="s">
        <v>5</v>
      </c>
      <c r="E58" s="15">
        <v>1900</v>
      </c>
      <c r="F58" s="16">
        <v>2.34</v>
      </c>
      <c r="G58" s="20">
        <f t="shared" si="9"/>
        <v>4446</v>
      </c>
      <c r="H58" s="114">
        <f t="shared" si="7"/>
        <v>0</v>
      </c>
      <c r="I58" s="115"/>
      <c r="J58" s="116">
        <f t="shared" si="8"/>
        <v>0</v>
      </c>
      <c r="K58" s="160"/>
    </row>
    <row r="59" spans="1:11" s="4" customFormat="1" ht="15.75" x14ac:dyDescent="0.25">
      <c r="A59" s="12" t="s">
        <v>413</v>
      </c>
      <c r="B59" s="17" t="s">
        <v>411</v>
      </c>
      <c r="C59" s="11" t="s">
        <v>412</v>
      </c>
      <c r="D59" s="14" t="s">
        <v>5</v>
      </c>
      <c r="E59" s="15">
        <v>54.54</v>
      </c>
      <c r="F59" s="16">
        <v>9.18</v>
      </c>
      <c r="G59" s="20">
        <f t="shared" si="9"/>
        <v>500.67719999999997</v>
      </c>
      <c r="H59" s="114">
        <f t="shared" si="7"/>
        <v>0</v>
      </c>
      <c r="I59" s="115"/>
      <c r="J59" s="116">
        <f t="shared" si="8"/>
        <v>0</v>
      </c>
      <c r="K59" s="160"/>
    </row>
    <row r="60" spans="1:11" s="4" customFormat="1" ht="15.75" x14ac:dyDescent="0.25">
      <c r="A60" s="12" t="s">
        <v>414</v>
      </c>
      <c r="B60" s="17" t="s">
        <v>507</v>
      </c>
      <c r="C60" s="11" t="s">
        <v>70</v>
      </c>
      <c r="D60" s="14" t="s">
        <v>5</v>
      </c>
      <c r="E60" s="15">
        <v>54.54</v>
      </c>
      <c r="F60" s="16">
        <v>7.01</v>
      </c>
      <c r="G60" s="20">
        <f t="shared" si="9"/>
        <v>382.3254</v>
      </c>
      <c r="H60" s="114">
        <f t="shared" si="7"/>
        <v>0</v>
      </c>
      <c r="I60" s="115"/>
      <c r="J60" s="116">
        <f>E60*I60</f>
        <v>0</v>
      </c>
      <c r="K60" s="160"/>
    </row>
    <row r="61" spans="1:11" s="121" customFormat="1" x14ac:dyDescent="0.25">
      <c r="A61" s="155"/>
      <c r="B61" s="155"/>
      <c r="C61" s="155"/>
      <c r="D61" s="155"/>
      <c r="E61" s="155"/>
      <c r="F61" s="155"/>
      <c r="G61" s="155"/>
    </row>
    <row r="62" spans="1:11" s="4" customFormat="1" ht="16.5" x14ac:dyDescent="0.25">
      <c r="A62" s="38" t="s">
        <v>461</v>
      </c>
      <c r="B62" s="154" t="s">
        <v>85</v>
      </c>
      <c r="C62" s="154"/>
      <c r="D62" s="154"/>
      <c r="E62" s="154"/>
      <c r="F62" s="154"/>
      <c r="G62" s="39">
        <f>SUM(G63:G65)</f>
        <v>17496.229599999999</v>
      </c>
      <c r="H62" s="110"/>
      <c r="I62" s="111"/>
      <c r="J62" s="112"/>
      <c r="K62" s="113">
        <f>SUM(J63:J69)</f>
        <v>0</v>
      </c>
    </row>
    <row r="63" spans="1:11" s="4" customFormat="1" ht="24" x14ac:dyDescent="0.25">
      <c r="A63" s="12" t="s">
        <v>86</v>
      </c>
      <c r="B63" s="17" t="s">
        <v>509</v>
      </c>
      <c r="C63" s="11" t="s">
        <v>508</v>
      </c>
      <c r="D63" s="14" t="s">
        <v>44</v>
      </c>
      <c r="E63" s="15">
        <v>38</v>
      </c>
      <c r="F63" s="16">
        <v>36.35</v>
      </c>
      <c r="G63" s="20">
        <f>E63*F63</f>
        <v>1381.3</v>
      </c>
      <c r="H63" s="114">
        <f>IF(I63="",0,(I63/F63-1))</f>
        <v>0</v>
      </c>
      <c r="I63" s="115"/>
      <c r="J63" s="116">
        <f>E63*I63</f>
        <v>0</v>
      </c>
      <c r="K63" s="160">
        <f>2.54*3</f>
        <v>7.62</v>
      </c>
    </row>
    <row r="64" spans="1:11" s="4" customFormat="1" ht="24" x14ac:dyDescent="0.25">
      <c r="A64" s="12" t="s">
        <v>87</v>
      </c>
      <c r="B64" s="17" t="s">
        <v>90</v>
      </c>
      <c r="C64" s="11" t="s">
        <v>89</v>
      </c>
      <c r="D64" s="14" t="s">
        <v>5</v>
      </c>
      <c r="E64" s="15">
        <v>311.52</v>
      </c>
      <c r="F64" s="16">
        <v>26.52</v>
      </c>
      <c r="G64" s="20">
        <f>E64*F64</f>
        <v>8261.5103999999992</v>
      </c>
      <c r="H64" s="114">
        <f>IF(I64="",0,(I64/F64-1))</f>
        <v>0</v>
      </c>
      <c r="I64" s="115"/>
      <c r="J64" s="116">
        <f>E64*I64</f>
        <v>0</v>
      </c>
      <c r="K64" s="160"/>
    </row>
    <row r="65" spans="1:11" s="6" customFormat="1" ht="36" x14ac:dyDescent="0.25">
      <c r="A65" s="22" t="s">
        <v>88</v>
      </c>
      <c r="B65" s="23" t="s">
        <v>511</v>
      </c>
      <c r="C65" s="21" t="s">
        <v>510</v>
      </c>
      <c r="D65" s="14" t="s">
        <v>5</v>
      </c>
      <c r="E65" s="15">
        <v>311.52</v>
      </c>
      <c r="F65" s="15">
        <v>25.21</v>
      </c>
      <c r="G65" s="20">
        <f>E65*F65</f>
        <v>7853.4191999999994</v>
      </c>
      <c r="H65" s="114">
        <f>IF(I65="",0,(I65/F65-1))</f>
        <v>0</v>
      </c>
      <c r="I65" s="115"/>
      <c r="J65" s="116">
        <f>E65*I65</f>
        <v>0</v>
      </c>
      <c r="K65" s="160"/>
    </row>
    <row r="66" spans="1:11" s="122" customFormat="1" x14ac:dyDescent="0.25">
      <c r="A66" s="155"/>
      <c r="B66" s="155"/>
      <c r="C66" s="155"/>
      <c r="D66" s="155"/>
      <c r="E66" s="155"/>
      <c r="F66" s="155"/>
      <c r="G66" s="155"/>
    </row>
    <row r="67" spans="1:11" s="4" customFormat="1" ht="16.5" x14ac:dyDescent="0.25">
      <c r="A67" s="38" t="s">
        <v>462</v>
      </c>
      <c r="B67" s="154" t="s">
        <v>91</v>
      </c>
      <c r="C67" s="154"/>
      <c r="D67" s="154"/>
      <c r="E67" s="154"/>
      <c r="F67" s="154"/>
      <c r="G67" s="39">
        <f>SUM(G68:G71)</f>
        <v>32748.284999999996</v>
      </c>
      <c r="H67" s="110"/>
      <c r="I67" s="111"/>
      <c r="J67" s="112"/>
      <c r="K67" s="113">
        <f>SUM(J68:J74)</f>
        <v>0</v>
      </c>
    </row>
    <row r="68" spans="1:11" s="4" customFormat="1" ht="24" x14ac:dyDescent="0.25">
      <c r="A68" s="12" t="s">
        <v>92</v>
      </c>
      <c r="B68" s="17" t="s">
        <v>513</v>
      </c>
      <c r="C68" s="11" t="s">
        <v>512</v>
      </c>
      <c r="D68" s="14" t="s">
        <v>5</v>
      </c>
      <c r="E68" s="15">
        <v>27.5</v>
      </c>
      <c r="F68" s="16">
        <f>312.58+68.04</f>
        <v>380.62</v>
      </c>
      <c r="G68" s="20">
        <f>E68*F68</f>
        <v>10467.049999999999</v>
      </c>
      <c r="H68" s="114">
        <f>IF(I68="",0,(I68/F68-1))</f>
        <v>0</v>
      </c>
      <c r="I68" s="115"/>
      <c r="J68" s="116">
        <f>E68*I68</f>
        <v>0</v>
      </c>
      <c r="K68" s="160"/>
    </row>
    <row r="69" spans="1:11" s="4" customFormat="1" ht="27.75" customHeight="1" x14ac:dyDescent="0.25">
      <c r="A69" s="12" t="s">
        <v>93</v>
      </c>
      <c r="B69" s="17" t="s">
        <v>514</v>
      </c>
      <c r="C69" s="11" t="s">
        <v>515</v>
      </c>
      <c r="D69" s="14" t="s">
        <v>5</v>
      </c>
      <c r="E69" s="15">
        <v>2.16</v>
      </c>
      <c r="F69" s="16">
        <f>407.03+68.04</f>
        <v>475.07</v>
      </c>
      <c r="G69" s="20">
        <f>E69*F69</f>
        <v>1026.1512</v>
      </c>
      <c r="H69" s="114">
        <f>IF(I69="",0,(I69/F69-1))</f>
        <v>0</v>
      </c>
      <c r="I69" s="115"/>
      <c r="J69" s="116">
        <f>E69*I69</f>
        <v>0</v>
      </c>
      <c r="K69" s="160"/>
    </row>
    <row r="70" spans="1:11" s="4" customFormat="1" ht="27" customHeight="1" x14ac:dyDescent="0.25">
      <c r="A70" s="12" t="s">
        <v>94</v>
      </c>
      <c r="B70" s="17" t="s">
        <v>410</v>
      </c>
      <c r="C70" s="11" t="s">
        <v>415</v>
      </c>
      <c r="D70" s="14" t="s">
        <v>99</v>
      </c>
      <c r="E70" s="15">
        <v>12</v>
      </c>
      <c r="F70" s="16">
        <v>377.41</v>
      </c>
      <c r="G70" s="20">
        <f>E70*F70</f>
        <v>4528.92</v>
      </c>
      <c r="H70" s="114">
        <f>IF(I70="",0,(I70/F70-1))</f>
        <v>0</v>
      </c>
      <c r="I70" s="115"/>
      <c r="J70" s="116">
        <f>E70*I70</f>
        <v>0</v>
      </c>
      <c r="K70" s="160"/>
    </row>
    <row r="71" spans="1:11" s="4" customFormat="1" ht="24" x14ac:dyDescent="0.25">
      <c r="A71" s="12" t="s">
        <v>95</v>
      </c>
      <c r="B71" s="17" t="s">
        <v>98</v>
      </c>
      <c r="C71" s="11" t="s">
        <v>97</v>
      </c>
      <c r="D71" s="14" t="s">
        <v>5</v>
      </c>
      <c r="E71" s="15">
        <f>27.5+2.16</f>
        <v>29.66</v>
      </c>
      <c r="F71" s="16">
        <v>563.92999999999995</v>
      </c>
      <c r="G71" s="20">
        <f>E71*F71</f>
        <v>16726.163799999998</v>
      </c>
      <c r="H71" s="114">
        <f>IF(I71="",0,(I71/F71-1))</f>
        <v>0</v>
      </c>
      <c r="I71" s="115"/>
      <c r="J71" s="116">
        <f>E71*I71</f>
        <v>0</v>
      </c>
      <c r="K71" s="160"/>
    </row>
    <row r="72" spans="1:11" s="121" customFormat="1" x14ac:dyDescent="0.25">
      <c r="A72" s="155"/>
      <c r="B72" s="155"/>
      <c r="C72" s="155"/>
      <c r="D72" s="155"/>
      <c r="E72" s="155"/>
      <c r="F72" s="155"/>
      <c r="G72" s="155"/>
    </row>
    <row r="73" spans="1:11" s="4" customFormat="1" ht="16.5" x14ac:dyDescent="0.25">
      <c r="A73" s="38" t="s">
        <v>463</v>
      </c>
      <c r="B73" s="154" t="s">
        <v>100</v>
      </c>
      <c r="C73" s="154"/>
      <c r="D73" s="154"/>
      <c r="E73" s="154"/>
      <c r="F73" s="154"/>
      <c r="G73" s="39">
        <f>SUM(G74:G92)</f>
        <v>11382.468999999999</v>
      </c>
      <c r="H73" s="110"/>
      <c r="I73" s="111"/>
      <c r="J73" s="112"/>
      <c r="K73" s="113">
        <f>SUM(J74:J80)</f>
        <v>0</v>
      </c>
    </row>
    <row r="74" spans="1:11" s="6" customFormat="1" ht="24" x14ac:dyDescent="0.25">
      <c r="A74" s="22" t="s">
        <v>101</v>
      </c>
      <c r="B74" s="25" t="s">
        <v>102</v>
      </c>
      <c r="C74" s="21" t="s">
        <v>516</v>
      </c>
      <c r="D74" s="22" t="s">
        <v>44</v>
      </c>
      <c r="E74" s="15">
        <v>40</v>
      </c>
      <c r="F74" s="15">
        <v>108.62</v>
      </c>
      <c r="G74" s="15">
        <f>E74*F74</f>
        <v>4344.8</v>
      </c>
      <c r="H74" s="114">
        <f t="shared" ref="H74:H92" si="10">IF(I74="",0,(I74/F74-1))</f>
        <v>0</v>
      </c>
      <c r="I74" s="115"/>
      <c r="J74" s="116">
        <f t="shared" ref="J74:J92" si="11">E74*I74</f>
        <v>0</v>
      </c>
      <c r="K74" s="163"/>
    </row>
    <row r="75" spans="1:11" s="4" customFormat="1" ht="24" x14ac:dyDescent="0.25">
      <c r="A75" s="12" t="s">
        <v>104</v>
      </c>
      <c r="B75" s="26" t="s">
        <v>105</v>
      </c>
      <c r="C75" s="11" t="s">
        <v>103</v>
      </c>
      <c r="D75" s="27" t="s">
        <v>99</v>
      </c>
      <c r="E75" s="15">
        <v>2</v>
      </c>
      <c r="F75" s="16">
        <v>33.65</v>
      </c>
      <c r="G75" s="15">
        <f t="shared" ref="G75:G92" si="12">E75*F75</f>
        <v>67.3</v>
      </c>
      <c r="H75" s="114">
        <f t="shared" si="10"/>
        <v>0</v>
      </c>
      <c r="I75" s="115"/>
      <c r="J75" s="116">
        <f t="shared" si="11"/>
        <v>0</v>
      </c>
      <c r="K75" s="163"/>
    </row>
    <row r="76" spans="1:11" s="4" customFormat="1" ht="15.75" x14ac:dyDescent="0.25">
      <c r="A76" s="12" t="s">
        <v>107</v>
      </c>
      <c r="B76" s="26" t="s">
        <v>108</v>
      </c>
      <c r="C76" s="11" t="s">
        <v>106</v>
      </c>
      <c r="D76" s="27" t="s">
        <v>99</v>
      </c>
      <c r="E76" s="15">
        <v>2</v>
      </c>
      <c r="F76" s="16">
        <v>63.22</v>
      </c>
      <c r="G76" s="15">
        <f t="shared" si="12"/>
        <v>126.44</v>
      </c>
      <c r="H76" s="114">
        <f t="shared" si="10"/>
        <v>0</v>
      </c>
      <c r="I76" s="115"/>
      <c r="J76" s="116">
        <f t="shared" si="11"/>
        <v>0</v>
      </c>
      <c r="K76" s="163"/>
    </row>
    <row r="77" spans="1:11" s="4" customFormat="1" ht="24" x14ac:dyDescent="0.25">
      <c r="A77" s="12" t="s">
        <v>110</v>
      </c>
      <c r="B77" s="17" t="s">
        <v>111</v>
      </c>
      <c r="C77" s="11" t="s">
        <v>109</v>
      </c>
      <c r="D77" s="27" t="s">
        <v>99</v>
      </c>
      <c r="E77" s="15">
        <v>2</v>
      </c>
      <c r="F77" s="16">
        <v>74.06</v>
      </c>
      <c r="G77" s="15">
        <f t="shared" si="12"/>
        <v>148.12</v>
      </c>
      <c r="H77" s="114">
        <f t="shared" si="10"/>
        <v>0</v>
      </c>
      <c r="I77" s="115"/>
      <c r="J77" s="116">
        <f t="shared" si="11"/>
        <v>0</v>
      </c>
      <c r="K77" s="163"/>
    </row>
    <row r="78" spans="1:11" s="4" customFormat="1" ht="24" x14ac:dyDescent="0.25">
      <c r="A78" s="12" t="s">
        <v>113</v>
      </c>
      <c r="B78" s="17" t="s">
        <v>114</v>
      </c>
      <c r="C78" s="11" t="s">
        <v>112</v>
      </c>
      <c r="D78" s="27" t="s">
        <v>99</v>
      </c>
      <c r="E78" s="15">
        <v>2</v>
      </c>
      <c r="F78" s="16">
        <v>152.46</v>
      </c>
      <c r="G78" s="15">
        <f t="shared" si="12"/>
        <v>304.92</v>
      </c>
      <c r="H78" s="114">
        <f t="shared" si="10"/>
        <v>0</v>
      </c>
      <c r="I78" s="115"/>
      <c r="J78" s="116">
        <f t="shared" si="11"/>
        <v>0</v>
      </c>
      <c r="K78" s="163"/>
    </row>
    <row r="79" spans="1:11" s="151" customFormat="1" ht="15.75" x14ac:dyDescent="0.25">
      <c r="A79" s="145" t="s">
        <v>115</v>
      </c>
      <c r="B79" s="147" t="s">
        <v>116</v>
      </c>
      <c r="C79" s="148"/>
      <c r="D79" s="145" t="s">
        <v>99</v>
      </c>
      <c r="E79" s="149">
        <v>2</v>
      </c>
      <c r="F79" s="149">
        <f>14.03*1.15</f>
        <v>16.134499999999999</v>
      </c>
      <c r="G79" s="149">
        <f t="shared" si="12"/>
        <v>32.268999999999998</v>
      </c>
      <c r="H79" s="150">
        <f t="shared" si="10"/>
        <v>0</v>
      </c>
      <c r="I79" s="115"/>
      <c r="J79" s="116">
        <f t="shared" si="11"/>
        <v>0</v>
      </c>
      <c r="K79" s="163"/>
    </row>
    <row r="80" spans="1:11" s="151" customFormat="1" ht="15.75" x14ac:dyDescent="0.25">
      <c r="A80" s="145" t="s">
        <v>118</v>
      </c>
      <c r="B80" s="147" t="s">
        <v>119</v>
      </c>
      <c r="C80" s="148" t="s">
        <v>117</v>
      </c>
      <c r="D80" s="145" t="s">
        <v>99</v>
      </c>
      <c r="E80" s="149">
        <v>2</v>
      </c>
      <c r="F80" s="149">
        <v>21.75</v>
      </c>
      <c r="G80" s="149">
        <f t="shared" si="12"/>
        <v>43.5</v>
      </c>
      <c r="H80" s="150">
        <f t="shared" si="10"/>
        <v>0</v>
      </c>
      <c r="I80" s="115"/>
      <c r="J80" s="116">
        <f t="shared" si="11"/>
        <v>0</v>
      </c>
      <c r="K80" s="163"/>
    </row>
    <row r="81" spans="1:11" s="4" customFormat="1" ht="36" x14ac:dyDescent="0.25">
      <c r="A81" s="12" t="s">
        <v>121</v>
      </c>
      <c r="B81" s="26" t="s">
        <v>122</v>
      </c>
      <c r="C81" s="11" t="s">
        <v>120</v>
      </c>
      <c r="D81" s="27" t="s">
        <v>99</v>
      </c>
      <c r="E81" s="15">
        <v>2</v>
      </c>
      <c r="F81" s="16">
        <v>148.49</v>
      </c>
      <c r="G81" s="15">
        <f t="shared" si="12"/>
        <v>296.98</v>
      </c>
      <c r="H81" s="114">
        <f t="shared" si="10"/>
        <v>0</v>
      </c>
      <c r="I81" s="115"/>
      <c r="J81" s="116">
        <f t="shared" si="11"/>
        <v>0</v>
      </c>
      <c r="K81" s="163"/>
    </row>
    <row r="82" spans="1:11" s="137" customFormat="1" ht="15.75" x14ac:dyDescent="0.25">
      <c r="A82" s="138" t="s">
        <v>124</v>
      </c>
      <c r="B82" s="139" t="s">
        <v>125</v>
      </c>
      <c r="C82" s="140" t="s">
        <v>123</v>
      </c>
      <c r="D82" s="141" t="s">
        <v>99</v>
      </c>
      <c r="E82" s="142">
        <v>2</v>
      </c>
      <c r="F82" s="143">
        <v>506.82</v>
      </c>
      <c r="G82" s="142">
        <f t="shared" si="12"/>
        <v>1013.64</v>
      </c>
      <c r="H82" s="144">
        <f t="shared" si="10"/>
        <v>0</v>
      </c>
      <c r="I82" s="115"/>
      <c r="J82" s="116">
        <f t="shared" si="11"/>
        <v>0</v>
      </c>
      <c r="K82" s="163"/>
    </row>
    <row r="83" spans="1:11" s="136" customFormat="1" ht="15.75" x14ac:dyDescent="0.25">
      <c r="A83" s="12" t="s">
        <v>127</v>
      </c>
      <c r="B83" s="28" t="s">
        <v>517</v>
      </c>
      <c r="C83" s="11" t="s">
        <v>126</v>
      </c>
      <c r="D83" s="27" t="s">
        <v>99</v>
      </c>
      <c r="E83" s="15">
        <v>2</v>
      </c>
      <c r="F83" s="16">
        <v>154.94999999999999</v>
      </c>
      <c r="G83" s="15">
        <f t="shared" si="12"/>
        <v>309.89999999999998</v>
      </c>
      <c r="H83" s="114">
        <f t="shared" si="10"/>
        <v>0</v>
      </c>
      <c r="I83" s="115"/>
      <c r="J83" s="116">
        <f t="shared" si="11"/>
        <v>0</v>
      </c>
      <c r="K83" s="163"/>
    </row>
    <row r="84" spans="1:11" s="4" customFormat="1" ht="15.75" x14ac:dyDescent="0.25">
      <c r="A84" s="127" t="s">
        <v>129</v>
      </c>
      <c r="B84" s="128" t="s">
        <v>130</v>
      </c>
      <c r="C84" s="129" t="s">
        <v>128</v>
      </c>
      <c r="D84" s="130" t="s">
        <v>5</v>
      </c>
      <c r="E84" s="131">
        <v>5</v>
      </c>
      <c r="F84" s="132">
        <v>7.51</v>
      </c>
      <c r="G84" s="131">
        <f t="shared" si="12"/>
        <v>37.549999999999997</v>
      </c>
      <c r="H84" s="133">
        <f t="shared" si="10"/>
        <v>0</v>
      </c>
      <c r="I84" s="134"/>
      <c r="J84" s="135">
        <f t="shared" si="11"/>
        <v>0</v>
      </c>
      <c r="K84" s="163"/>
    </row>
    <row r="85" spans="1:11" s="4" customFormat="1" ht="15.75" x14ac:dyDescent="0.25">
      <c r="A85" s="12" t="s">
        <v>132</v>
      </c>
      <c r="B85" s="26" t="s">
        <v>133</v>
      </c>
      <c r="C85" s="11" t="s">
        <v>131</v>
      </c>
      <c r="D85" s="27" t="s">
        <v>5</v>
      </c>
      <c r="E85" s="15">
        <v>5</v>
      </c>
      <c r="F85" s="16">
        <v>19.18</v>
      </c>
      <c r="G85" s="15">
        <f t="shared" si="12"/>
        <v>95.9</v>
      </c>
      <c r="H85" s="114">
        <f t="shared" si="10"/>
        <v>0</v>
      </c>
      <c r="I85" s="115"/>
      <c r="J85" s="116">
        <f t="shared" si="11"/>
        <v>0</v>
      </c>
      <c r="K85" s="163"/>
    </row>
    <row r="86" spans="1:11" s="6" customFormat="1" ht="36" x14ac:dyDescent="0.25">
      <c r="A86" s="22" t="s">
        <v>134</v>
      </c>
      <c r="B86" s="25" t="s">
        <v>135</v>
      </c>
      <c r="C86" s="21" t="s">
        <v>438</v>
      </c>
      <c r="D86" s="22" t="s">
        <v>99</v>
      </c>
      <c r="E86" s="15">
        <v>2</v>
      </c>
      <c r="F86" s="15">
        <v>191.5</v>
      </c>
      <c r="G86" s="15">
        <f t="shared" si="12"/>
        <v>383</v>
      </c>
      <c r="H86" s="114">
        <f t="shared" si="10"/>
        <v>0</v>
      </c>
      <c r="I86" s="115"/>
      <c r="J86" s="116">
        <f t="shared" si="11"/>
        <v>0</v>
      </c>
      <c r="K86" s="163"/>
    </row>
    <row r="87" spans="1:11" s="6" customFormat="1" ht="48" x14ac:dyDescent="0.25">
      <c r="A87" s="22" t="s">
        <v>136</v>
      </c>
      <c r="B87" s="25" t="s">
        <v>137</v>
      </c>
      <c r="C87" s="21" t="s">
        <v>439</v>
      </c>
      <c r="D87" s="22" t="s">
        <v>99</v>
      </c>
      <c r="E87" s="15">
        <v>2</v>
      </c>
      <c r="F87" s="15">
        <v>1026.7</v>
      </c>
      <c r="G87" s="15">
        <f t="shared" si="12"/>
        <v>2053.4</v>
      </c>
      <c r="H87" s="114">
        <f t="shared" si="10"/>
        <v>0</v>
      </c>
      <c r="I87" s="115"/>
      <c r="J87" s="116">
        <f t="shared" si="11"/>
        <v>0</v>
      </c>
      <c r="K87" s="163"/>
    </row>
    <row r="88" spans="1:11" s="4" customFormat="1" ht="24" x14ac:dyDescent="0.25">
      <c r="A88" s="12" t="s">
        <v>138</v>
      </c>
      <c r="B88" s="26" t="s">
        <v>337</v>
      </c>
      <c r="C88" s="11" t="s">
        <v>336</v>
      </c>
      <c r="D88" s="27" t="s">
        <v>99</v>
      </c>
      <c r="E88" s="15">
        <v>2</v>
      </c>
      <c r="F88" s="16">
        <v>86.72</v>
      </c>
      <c r="G88" s="15">
        <f t="shared" si="12"/>
        <v>173.44</v>
      </c>
      <c r="H88" s="114">
        <f t="shared" si="10"/>
        <v>0</v>
      </c>
      <c r="I88" s="115"/>
      <c r="J88" s="116">
        <f t="shared" si="11"/>
        <v>0</v>
      </c>
      <c r="K88" s="163"/>
    </row>
    <row r="89" spans="1:11" s="4" customFormat="1" ht="15.75" x14ac:dyDescent="0.25">
      <c r="A89" s="12" t="s">
        <v>139</v>
      </c>
      <c r="B89" s="26" t="s">
        <v>142</v>
      </c>
      <c r="C89" s="11" t="s">
        <v>140</v>
      </c>
      <c r="D89" s="27" t="s">
        <v>99</v>
      </c>
      <c r="E89" s="15">
        <v>2</v>
      </c>
      <c r="F89" s="16">
        <v>431.42</v>
      </c>
      <c r="G89" s="15">
        <f t="shared" si="12"/>
        <v>862.84</v>
      </c>
      <c r="H89" s="114">
        <f t="shared" si="10"/>
        <v>0</v>
      </c>
      <c r="I89" s="115"/>
      <c r="J89" s="116">
        <f t="shared" si="11"/>
        <v>0</v>
      </c>
      <c r="K89" s="163"/>
    </row>
    <row r="90" spans="1:11" s="4" customFormat="1" ht="15.75" x14ac:dyDescent="0.25">
      <c r="A90" s="12" t="s">
        <v>141</v>
      </c>
      <c r="B90" s="26" t="s">
        <v>307</v>
      </c>
      <c r="C90" s="11" t="s">
        <v>335</v>
      </c>
      <c r="D90" s="27" t="s">
        <v>99</v>
      </c>
      <c r="E90" s="15">
        <v>2</v>
      </c>
      <c r="F90" s="16">
        <v>113.21</v>
      </c>
      <c r="G90" s="15">
        <f t="shared" si="12"/>
        <v>226.42</v>
      </c>
      <c r="H90" s="114">
        <f t="shared" si="10"/>
        <v>0</v>
      </c>
      <c r="I90" s="115"/>
      <c r="J90" s="116">
        <f t="shared" si="11"/>
        <v>0</v>
      </c>
      <c r="K90" s="163"/>
    </row>
    <row r="91" spans="1:11" s="4" customFormat="1" ht="15.75" x14ac:dyDescent="0.25">
      <c r="A91" s="12" t="s">
        <v>143</v>
      </c>
      <c r="B91" s="26" t="s">
        <v>146</v>
      </c>
      <c r="C91" s="11" t="s">
        <v>144</v>
      </c>
      <c r="D91" s="27" t="s">
        <v>99</v>
      </c>
      <c r="E91" s="15">
        <v>17</v>
      </c>
      <c r="F91" s="16">
        <v>46.41</v>
      </c>
      <c r="G91" s="15">
        <f t="shared" si="12"/>
        <v>788.96999999999991</v>
      </c>
      <c r="H91" s="114">
        <f t="shared" si="10"/>
        <v>0</v>
      </c>
      <c r="I91" s="115"/>
      <c r="J91" s="116">
        <f t="shared" si="11"/>
        <v>0</v>
      </c>
      <c r="K91" s="163"/>
    </row>
    <row r="92" spans="1:11" s="4" customFormat="1" ht="15.75" x14ac:dyDescent="0.25">
      <c r="A92" s="12" t="s">
        <v>145</v>
      </c>
      <c r="B92" s="26" t="s">
        <v>148</v>
      </c>
      <c r="C92" s="11" t="s">
        <v>147</v>
      </c>
      <c r="D92" s="27" t="s">
        <v>99</v>
      </c>
      <c r="E92" s="15">
        <v>4</v>
      </c>
      <c r="F92" s="16">
        <v>18.27</v>
      </c>
      <c r="G92" s="15">
        <f t="shared" si="12"/>
        <v>73.08</v>
      </c>
      <c r="H92" s="114">
        <f t="shared" si="10"/>
        <v>0</v>
      </c>
      <c r="I92" s="115"/>
      <c r="J92" s="116">
        <f t="shared" si="11"/>
        <v>0</v>
      </c>
      <c r="K92" s="163"/>
    </row>
    <row r="93" spans="1:11" s="121" customFormat="1" x14ac:dyDescent="0.25">
      <c r="A93" s="155"/>
      <c r="B93" s="155"/>
      <c r="C93" s="155"/>
      <c r="D93" s="155"/>
      <c r="E93" s="155"/>
      <c r="F93" s="155"/>
      <c r="G93" s="155"/>
    </row>
    <row r="94" spans="1:11" s="4" customFormat="1" ht="16.5" x14ac:dyDescent="0.25">
      <c r="A94" s="38" t="s">
        <v>464</v>
      </c>
      <c r="B94" s="154" t="s">
        <v>149</v>
      </c>
      <c r="C94" s="154"/>
      <c r="D94" s="154"/>
      <c r="E94" s="154"/>
      <c r="F94" s="154"/>
      <c r="G94" s="39">
        <f>SUM(G95:G154)</f>
        <v>80730.949099999998</v>
      </c>
      <c r="H94" s="110"/>
      <c r="I94" s="111"/>
      <c r="J94" s="112"/>
      <c r="K94" s="113">
        <f>SUM(J95:J101)</f>
        <v>0</v>
      </c>
    </row>
    <row r="95" spans="1:11" s="4" customFormat="1" ht="15.75" x14ac:dyDescent="0.25">
      <c r="A95" s="12" t="s">
        <v>151</v>
      </c>
      <c r="B95" s="17" t="s">
        <v>152</v>
      </c>
      <c r="C95" s="11" t="s">
        <v>150</v>
      </c>
      <c r="D95" s="27" t="s">
        <v>99</v>
      </c>
      <c r="E95" s="15">
        <v>122</v>
      </c>
      <c r="F95" s="16">
        <v>34.840000000000003</v>
      </c>
      <c r="G95" s="20">
        <f>E95*F95</f>
        <v>4250.4800000000005</v>
      </c>
      <c r="H95" s="114">
        <f t="shared" ref="H95:H154" si="13">IF(I95="",0,(I95/F95-1))</f>
        <v>0</v>
      </c>
      <c r="I95" s="115"/>
      <c r="J95" s="116">
        <f t="shared" ref="J95:J125" si="14">E95*I95</f>
        <v>0</v>
      </c>
      <c r="K95" s="160"/>
    </row>
    <row r="96" spans="1:11" s="4" customFormat="1" ht="15.75" x14ac:dyDescent="0.25">
      <c r="A96" s="12" t="s">
        <v>154</v>
      </c>
      <c r="B96" s="17" t="s">
        <v>330</v>
      </c>
      <c r="C96" s="11" t="s">
        <v>329</v>
      </c>
      <c r="D96" s="27" t="s">
        <v>99</v>
      </c>
      <c r="E96" s="15">
        <v>12</v>
      </c>
      <c r="F96" s="16">
        <v>21.93</v>
      </c>
      <c r="G96" s="20">
        <f t="shared" ref="G96:G154" si="15">E96*F96</f>
        <v>263.15999999999997</v>
      </c>
      <c r="H96" s="114">
        <f t="shared" si="13"/>
        <v>0</v>
      </c>
      <c r="I96" s="115"/>
      <c r="J96" s="116">
        <f t="shared" si="14"/>
        <v>0</v>
      </c>
      <c r="K96" s="160"/>
    </row>
    <row r="97" spans="1:11" s="4" customFormat="1" ht="15.75" x14ac:dyDescent="0.25">
      <c r="A97" s="12" t="s">
        <v>316</v>
      </c>
      <c r="B97" s="17" t="s">
        <v>155</v>
      </c>
      <c r="C97" s="11" t="s">
        <v>153</v>
      </c>
      <c r="D97" s="27" t="s">
        <v>99</v>
      </c>
      <c r="E97" s="15">
        <v>156</v>
      </c>
      <c r="F97" s="16">
        <v>12.79</v>
      </c>
      <c r="G97" s="20">
        <f t="shared" si="15"/>
        <v>1995.2399999999998</v>
      </c>
      <c r="H97" s="114">
        <f t="shared" si="13"/>
        <v>0</v>
      </c>
      <c r="I97" s="115"/>
      <c r="J97" s="116">
        <f t="shared" si="14"/>
        <v>0</v>
      </c>
      <c r="K97" s="160"/>
    </row>
    <row r="98" spans="1:11" s="4" customFormat="1" ht="15.75" x14ac:dyDescent="0.25">
      <c r="A98" s="12" t="s">
        <v>156</v>
      </c>
      <c r="B98" s="17" t="s">
        <v>353</v>
      </c>
      <c r="C98" s="11" t="s">
        <v>352</v>
      </c>
      <c r="D98" s="27" t="s">
        <v>99</v>
      </c>
      <c r="E98" s="15">
        <v>4</v>
      </c>
      <c r="F98" s="16">
        <v>19.64</v>
      </c>
      <c r="G98" s="20">
        <f t="shared" si="15"/>
        <v>78.56</v>
      </c>
      <c r="H98" s="114">
        <f t="shared" si="13"/>
        <v>0</v>
      </c>
      <c r="I98" s="115"/>
      <c r="J98" s="116">
        <f t="shared" si="14"/>
        <v>0</v>
      </c>
      <c r="K98" s="160"/>
    </row>
    <row r="99" spans="1:11" s="4" customFormat="1" ht="24" x14ac:dyDescent="0.25">
      <c r="A99" s="12" t="s">
        <v>317</v>
      </c>
      <c r="B99" s="17" t="s">
        <v>310</v>
      </c>
      <c r="C99" s="11" t="s">
        <v>309</v>
      </c>
      <c r="D99" s="27" t="s">
        <v>99</v>
      </c>
      <c r="E99" s="15">
        <v>82</v>
      </c>
      <c r="F99" s="16">
        <v>71.290000000000006</v>
      </c>
      <c r="G99" s="20">
        <f t="shared" si="15"/>
        <v>5845.7800000000007</v>
      </c>
      <c r="H99" s="114">
        <f t="shared" si="13"/>
        <v>0</v>
      </c>
      <c r="I99" s="115"/>
      <c r="J99" s="116">
        <f t="shared" si="14"/>
        <v>0</v>
      </c>
      <c r="K99" s="160"/>
    </row>
    <row r="100" spans="1:11" s="4" customFormat="1" ht="15.75" x14ac:dyDescent="0.25">
      <c r="A100" s="12" t="s">
        <v>318</v>
      </c>
      <c r="B100" s="17" t="s">
        <v>159</v>
      </c>
      <c r="C100" s="11" t="s">
        <v>157</v>
      </c>
      <c r="D100" s="27" t="s">
        <v>99</v>
      </c>
      <c r="E100" s="15">
        <v>2</v>
      </c>
      <c r="F100" s="16">
        <v>8.44</v>
      </c>
      <c r="G100" s="20">
        <f t="shared" si="15"/>
        <v>16.88</v>
      </c>
      <c r="H100" s="114">
        <f t="shared" si="13"/>
        <v>0</v>
      </c>
      <c r="I100" s="115"/>
      <c r="J100" s="116">
        <f t="shared" si="14"/>
        <v>0</v>
      </c>
      <c r="K100" s="160"/>
    </row>
    <row r="101" spans="1:11" s="4" customFormat="1" ht="15.75" x14ac:dyDescent="0.25">
      <c r="A101" s="12" t="s">
        <v>158</v>
      </c>
      <c r="B101" s="17" t="s">
        <v>162</v>
      </c>
      <c r="C101" s="11" t="s">
        <v>160</v>
      </c>
      <c r="D101" s="27" t="s">
        <v>99</v>
      </c>
      <c r="E101" s="15">
        <v>4</v>
      </c>
      <c r="F101" s="16">
        <v>16.78</v>
      </c>
      <c r="G101" s="20">
        <f t="shared" si="15"/>
        <v>67.12</v>
      </c>
      <c r="H101" s="114">
        <f t="shared" si="13"/>
        <v>0</v>
      </c>
      <c r="I101" s="115"/>
      <c r="J101" s="116">
        <f t="shared" si="14"/>
        <v>0</v>
      </c>
      <c r="K101" s="160"/>
    </row>
    <row r="102" spans="1:11" s="4" customFormat="1" ht="15.75" x14ac:dyDescent="0.25">
      <c r="A102" s="12" t="s">
        <v>161</v>
      </c>
      <c r="B102" s="17" t="s">
        <v>165</v>
      </c>
      <c r="C102" s="11" t="s">
        <v>163</v>
      </c>
      <c r="D102" s="27" t="s">
        <v>99</v>
      </c>
      <c r="E102" s="15">
        <v>10</v>
      </c>
      <c r="F102" s="16">
        <v>14.61</v>
      </c>
      <c r="G102" s="20">
        <f t="shared" si="15"/>
        <v>146.1</v>
      </c>
      <c r="H102" s="114">
        <f t="shared" si="13"/>
        <v>0</v>
      </c>
      <c r="I102" s="115"/>
      <c r="J102" s="116">
        <f t="shared" si="14"/>
        <v>0</v>
      </c>
      <c r="K102" s="160"/>
    </row>
    <row r="103" spans="1:11" s="4" customFormat="1" ht="15.75" x14ac:dyDescent="0.25">
      <c r="A103" s="12" t="s">
        <v>164</v>
      </c>
      <c r="B103" s="17" t="s">
        <v>168</v>
      </c>
      <c r="C103" s="11" t="s">
        <v>166</v>
      </c>
      <c r="D103" s="27" t="s">
        <v>99</v>
      </c>
      <c r="E103" s="15">
        <v>12</v>
      </c>
      <c r="F103" s="16">
        <v>18.440000000000001</v>
      </c>
      <c r="G103" s="20">
        <f t="shared" si="15"/>
        <v>221.28000000000003</v>
      </c>
      <c r="H103" s="114">
        <f t="shared" si="13"/>
        <v>0</v>
      </c>
      <c r="I103" s="115"/>
      <c r="J103" s="116">
        <f t="shared" si="14"/>
        <v>0</v>
      </c>
      <c r="K103" s="160"/>
    </row>
    <row r="104" spans="1:11" s="4" customFormat="1" ht="15.75" x14ac:dyDescent="0.25">
      <c r="A104" s="12" t="s">
        <v>167</v>
      </c>
      <c r="B104" s="17" t="s">
        <v>171</v>
      </c>
      <c r="C104" s="11" t="s">
        <v>169</v>
      </c>
      <c r="D104" s="27" t="s">
        <v>99</v>
      </c>
      <c r="E104" s="15">
        <v>2</v>
      </c>
      <c r="F104" s="16">
        <v>44.69</v>
      </c>
      <c r="G104" s="20">
        <f t="shared" si="15"/>
        <v>89.38</v>
      </c>
      <c r="H104" s="114">
        <f t="shared" si="13"/>
        <v>0</v>
      </c>
      <c r="I104" s="115"/>
      <c r="J104" s="116">
        <f t="shared" si="14"/>
        <v>0</v>
      </c>
      <c r="K104" s="160"/>
    </row>
    <row r="105" spans="1:11" s="4" customFormat="1" ht="24" x14ac:dyDescent="0.25">
      <c r="A105" s="12" t="s">
        <v>170</v>
      </c>
      <c r="B105" s="17" t="s">
        <v>174</v>
      </c>
      <c r="C105" s="11" t="s">
        <v>172</v>
      </c>
      <c r="D105" s="27" t="s">
        <v>99</v>
      </c>
      <c r="E105" s="15">
        <v>2</v>
      </c>
      <c r="F105" s="16">
        <v>200.9</v>
      </c>
      <c r="G105" s="20">
        <f t="shared" si="15"/>
        <v>401.8</v>
      </c>
      <c r="H105" s="114">
        <f t="shared" si="13"/>
        <v>0</v>
      </c>
      <c r="I105" s="115"/>
      <c r="J105" s="116">
        <f t="shared" si="14"/>
        <v>0</v>
      </c>
      <c r="K105" s="160"/>
    </row>
    <row r="106" spans="1:11" s="4" customFormat="1" ht="15.75" x14ac:dyDescent="0.25">
      <c r="A106" s="12" t="s">
        <v>319</v>
      </c>
      <c r="B106" s="17" t="s">
        <v>177</v>
      </c>
      <c r="C106" s="11" t="s">
        <v>175</v>
      </c>
      <c r="D106" s="27" t="s">
        <v>44</v>
      </c>
      <c r="E106" s="15">
        <v>2546.38</v>
      </c>
      <c r="F106" s="16">
        <v>3.91</v>
      </c>
      <c r="G106" s="20">
        <f t="shared" si="15"/>
        <v>9956.345800000001</v>
      </c>
      <c r="H106" s="114">
        <f t="shared" si="13"/>
        <v>0</v>
      </c>
      <c r="I106" s="115"/>
      <c r="J106" s="116">
        <f t="shared" si="14"/>
        <v>0</v>
      </c>
      <c r="K106" s="160"/>
    </row>
    <row r="107" spans="1:11" s="4" customFormat="1" ht="24" x14ac:dyDescent="0.25">
      <c r="A107" s="12" t="s">
        <v>320</v>
      </c>
      <c r="B107" s="17" t="s">
        <v>180</v>
      </c>
      <c r="C107" s="11" t="s">
        <v>178</v>
      </c>
      <c r="D107" s="27" t="s">
        <v>44</v>
      </c>
      <c r="E107" s="15">
        <v>2080</v>
      </c>
      <c r="F107" s="16">
        <v>2.35</v>
      </c>
      <c r="G107" s="20">
        <f t="shared" si="15"/>
        <v>4888</v>
      </c>
      <c r="H107" s="114">
        <f t="shared" si="13"/>
        <v>0</v>
      </c>
      <c r="I107" s="115"/>
      <c r="J107" s="116">
        <f t="shared" si="14"/>
        <v>0</v>
      </c>
      <c r="K107" s="160"/>
    </row>
    <row r="108" spans="1:11" s="4" customFormat="1" ht="24" x14ac:dyDescent="0.25">
      <c r="A108" s="12" t="s">
        <v>321</v>
      </c>
      <c r="B108" s="17" t="s">
        <v>183</v>
      </c>
      <c r="C108" s="11" t="s">
        <v>181</v>
      </c>
      <c r="D108" s="27" t="s">
        <v>44</v>
      </c>
      <c r="E108" s="15">
        <v>1400</v>
      </c>
      <c r="F108" s="16">
        <v>2.35</v>
      </c>
      <c r="G108" s="20">
        <f t="shared" si="15"/>
        <v>3290</v>
      </c>
      <c r="H108" s="114">
        <f t="shared" si="13"/>
        <v>0</v>
      </c>
      <c r="I108" s="115"/>
      <c r="J108" s="116">
        <f t="shared" si="14"/>
        <v>0</v>
      </c>
      <c r="K108" s="160"/>
    </row>
    <row r="109" spans="1:11" s="4" customFormat="1" ht="24" x14ac:dyDescent="0.25">
      <c r="A109" s="12" t="s">
        <v>322</v>
      </c>
      <c r="B109" s="17" t="s">
        <v>186</v>
      </c>
      <c r="C109" s="11" t="s">
        <v>184</v>
      </c>
      <c r="D109" s="27" t="s">
        <v>44</v>
      </c>
      <c r="E109" s="15">
        <v>230</v>
      </c>
      <c r="F109" s="16">
        <v>6.59</v>
      </c>
      <c r="G109" s="20">
        <f t="shared" si="15"/>
        <v>1515.7</v>
      </c>
      <c r="H109" s="114">
        <f t="shared" si="13"/>
        <v>0</v>
      </c>
      <c r="I109" s="115"/>
      <c r="J109" s="116">
        <f t="shared" si="14"/>
        <v>0</v>
      </c>
      <c r="K109" s="160"/>
    </row>
    <row r="110" spans="1:11" s="4" customFormat="1" ht="24" x14ac:dyDescent="0.25">
      <c r="A110" s="12" t="s">
        <v>323</v>
      </c>
      <c r="B110" s="17" t="s">
        <v>350</v>
      </c>
      <c r="C110" s="11" t="s">
        <v>351</v>
      </c>
      <c r="D110" s="27" t="s">
        <v>44</v>
      </c>
      <c r="E110" s="15">
        <v>240</v>
      </c>
      <c r="F110" s="16">
        <v>9.1300000000000008</v>
      </c>
      <c r="G110" s="20">
        <f t="shared" si="15"/>
        <v>2191.2000000000003</v>
      </c>
      <c r="H110" s="114">
        <f t="shared" si="13"/>
        <v>0</v>
      </c>
      <c r="I110" s="115"/>
      <c r="J110" s="116">
        <f t="shared" si="14"/>
        <v>0</v>
      </c>
      <c r="K110" s="160"/>
    </row>
    <row r="111" spans="1:11" s="4" customFormat="1" ht="24" x14ac:dyDescent="0.25">
      <c r="A111" s="12" t="s">
        <v>173</v>
      </c>
      <c r="B111" s="17" t="s">
        <v>357</v>
      </c>
      <c r="C111" s="11" t="s">
        <v>356</v>
      </c>
      <c r="D111" s="27" t="s">
        <v>44</v>
      </c>
      <c r="E111" s="15">
        <v>35</v>
      </c>
      <c r="F111" s="16">
        <v>41.68</v>
      </c>
      <c r="G111" s="20">
        <f t="shared" si="15"/>
        <v>1458.8</v>
      </c>
      <c r="H111" s="114">
        <f t="shared" si="13"/>
        <v>0</v>
      </c>
      <c r="I111" s="115"/>
      <c r="J111" s="116">
        <f t="shared" si="14"/>
        <v>0</v>
      </c>
      <c r="K111" s="160"/>
    </row>
    <row r="112" spans="1:11" s="6" customFormat="1" ht="15.75" x14ac:dyDescent="0.25">
      <c r="A112" s="22" t="s">
        <v>324</v>
      </c>
      <c r="B112" s="23" t="s">
        <v>349</v>
      </c>
      <c r="C112" s="21" t="s">
        <v>420</v>
      </c>
      <c r="D112" s="22" t="s">
        <v>25</v>
      </c>
      <c r="E112" s="15">
        <f>37.6+19</f>
        <v>56.6</v>
      </c>
      <c r="F112" s="15">
        <v>18.5</v>
      </c>
      <c r="G112" s="20">
        <f t="shared" si="15"/>
        <v>1047.1000000000001</v>
      </c>
      <c r="H112" s="114">
        <f t="shared" si="13"/>
        <v>0</v>
      </c>
      <c r="I112" s="115"/>
      <c r="J112" s="116">
        <f t="shared" si="14"/>
        <v>0</v>
      </c>
      <c r="K112" s="160"/>
    </row>
    <row r="113" spans="1:11" s="4" customFormat="1" ht="24" x14ac:dyDescent="0.25">
      <c r="A113" s="12" t="s">
        <v>176</v>
      </c>
      <c r="B113" s="17" t="s">
        <v>191</v>
      </c>
      <c r="C113" s="11" t="s">
        <v>189</v>
      </c>
      <c r="D113" s="27" t="s">
        <v>44</v>
      </c>
      <c r="E113" s="15">
        <v>270</v>
      </c>
      <c r="F113" s="16">
        <v>3.65</v>
      </c>
      <c r="G113" s="20">
        <f t="shared" si="15"/>
        <v>985.5</v>
      </c>
      <c r="H113" s="114">
        <f t="shared" si="13"/>
        <v>0</v>
      </c>
      <c r="I113" s="115"/>
      <c r="J113" s="116">
        <f t="shared" si="14"/>
        <v>0</v>
      </c>
      <c r="K113" s="160"/>
    </row>
    <row r="114" spans="1:11" s="4" customFormat="1" ht="24" x14ac:dyDescent="0.25">
      <c r="A114" s="12" t="s">
        <v>179</v>
      </c>
      <c r="B114" s="17" t="s">
        <v>194</v>
      </c>
      <c r="C114" s="11" t="s">
        <v>192</v>
      </c>
      <c r="D114" s="27" t="s">
        <v>44</v>
      </c>
      <c r="E114" s="15">
        <v>80</v>
      </c>
      <c r="F114" s="16">
        <v>4.6500000000000004</v>
      </c>
      <c r="G114" s="20">
        <f t="shared" si="15"/>
        <v>372</v>
      </c>
      <c r="H114" s="114">
        <f t="shared" si="13"/>
        <v>0</v>
      </c>
      <c r="I114" s="115"/>
      <c r="J114" s="116">
        <f t="shared" si="14"/>
        <v>0</v>
      </c>
      <c r="K114" s="160"/>
    </row>
    <row r="115" spans="1:11" s="4" customFormat="1" ht="24" x14ac:dyDescent="0.25">
      <c r="A115" s="12" t="s">
        <v>182</v>
      </c>
      <c r="B115" s="17" t="s">
        <v>197</v>
      </c>
      <c r="C115" s="11" t="s">
        <v>195</v>
      </c>
      <c r="D115" s="27" t="s">
        <v>44</v>
      </c>
      <c r="E115" s="15">
        <v>110</v>
      </c>
      <c r="F115" s="16">
        <v>6.44</v>
      </c>
      <c r="G115" s="20">
        <f t="shared" si="15"/>
        <v>708.40000000000009</v>
      </c>
      <c r="H115" s="114">
        <f t="shared" si="13"/>
        <v>0</v>
      </c>
      <c r="I115" s="115"/>
      <c r="J115" s="116">
        <f t="shared" si="14"/>
        <v>0</v>
      </c>
      <c r="K115" s="160"/>
    </row>
    <row r="116" spans="1:11" s="4" customFormat="1" ht="15.75" x14ac:dyDescent="0.25">
      <c r="A116" s="12" t="s">
        <v>325</v>
      </c>
      <c r="B116" s="17" t="s">
        <v>202</v>
      </c>
      <c r="C116" s="11" t="s">
        <v>200</v>
      </c>
      <c r="D116" s="27" t="s">
        <v>44</v>
      </c>
      <c r="E116" s="15">
        <v>60</v>
      </c>
      <c r="F116" s="16">
        <v>6.05</v>
      </c>
      <c r="G116" s="20">
        <f t="shared" si="15"/>
        <v>363</v>
      </c>
      <c r="H116" s="114">
        <f t="shared" si="13"/>
        <v>0</v>
      </c>
      <c r="I116" s="115"/>
      <c r="J116" s="116">
        <f t="shared" si="14"/>
        <v>0</v>
      </c>
      <c r="K116" s="160"/>
    </row>
    <row r="117" spans="1:11" s="4" customFormat="1" ht="15.75" x14ac:dyDescent="0.25">
      <c r="A117" s="12" t="s">
        <v>326</v>
      </c>
      <c r="B117" s="17" t="s">
        <v>360</v>
      </c>
      <c r="C117" s="11" t="s">
        <v>359</v>
      </c>
      <c r="D117" s="27" t="s">
        <v>44</v>
      </c>
      <c r="E117" s="15">
        <v>60</v>
      </c>
      <c r="F117" s="16">
        <v>7.4</v>
      </c>
      <c r="G117" s="20">
        <f t="shared" si="15"/>
        <v>444</v>
      </c>
      <c r="H117" s="114">
        <f t="shared" si="13"/>
        <v>0</v>
      </c>
      <c r="I117" s="115"/>
      <c r="J117" s="116">
        <f t="shared" si="14"/>
        <v>0</v>
      </c>
      <c r="K117" s="160"/>
    </row>
    <row r="118" spans="1:11" s="6" customFormat="1" ht="36" x14ac:dyDescent="0.25">
      <c r="A118" s="22" t="s">
        <v>185</v>
      </c>
      <c r="B118" s="23" t="s">
        <v>207</v>
      </c>
      <c r="C118" s="21" t="s">
        <v>419</v>
      </c>
      <c r="D118" s="22" t="s">
        <v>99</v>
      </c>
      <c r="E118" s="15">
        <v>2</v>
      </c>
      <c r="F118" s="15">
        <v>160.49</v>
      </c>
      <c r="G118" s="20">
        <f t="shared" si="15"/>
        <v>320.98</v>
      </c>
      <c r="H118" s="114">
        <f t="shared" si="13"/>
        <v>0</v>
      </c>
      <c r="I118" s="115"/>
      <c r="J118" s="116">
        <f t="shared" si="14"/>
        <v>0</v>
      </c>
      <c r="K118" s="160"/>
    </row>
    <row r="119" spans="1:11" s="4" customFormat="1" ht="36" x14ac:dyDescent="0.25">
      <c r="A119" s="12" t="s">
        <v>327</v>
      </c>
      <c r="B119" s="17" t="s">
        <v>210</v>
      </c>
      <c r="C119" s="11" t="s">
        <v>208</v>
      </c>
      <c r="D119" s="27" t="s">
        <v>99</v>
      </c>
      <c r="E119" s="15">
        <v>2</v>
      </c>
      <c r="F119" s="16">
        <v>235.87</v>
      </c>
      <c r="G119" s="20">
        <f t="shared" si="15"/>
        <v>471.74</v>
      </c>
      <c r="H119" s="114">
        <f t="shared" si="13"/>
        <v>0</v>
      </c>
      <c r="I119" s="115"/>
      <c r="J119" s="116">
        <f t="shared" si="14"/>
        <v>0</v>
      </c>
      <c r="K119" s="160"/>
    </row>
    <row r="120" spans="1:11" s="4" customFormat="1" ht="24" x14ac:dyDescent="0.25">
      <c r="A120" s="12" t="s">
        <v>187</v>
      </c>
      <c r="B120" s="17" t="s">
        <v>223</v>
      </c>
      <c r="C120" s="11" t="s">
        <v>221</v>
      </c>
      <c r="D120" s="27" t="s">
        <v>99</v>
      </c>
      <c r="E120" s="24">
        <v>40</v>
      </c>
      <c r="F120" s="20">
        <v>9.1199999999999992</v>
      </c>
      <c r="G120" s="20">
        <f t="shared" si="15"/>
        <v>364.79999999999995</v>
      </c>
      <c r="H120" s="114">
        <f t="shared" si="13"/>
        <v>0</v>
      </c>
      <c r="I120" s="115"/>
      <c r="J120" s="116">
        <f t="shared" si="14"/>
        <v>0</v>
      </c>
      <c r="K120" s="160"/>
    </row>
    <row r="121" spans="1:11" s="4" customFormat="1" ht="24" x14ac:dyDescent="0.25">
      <c r="A121" s="12" t="s">
        <v>188</v>
      </c>
      <c r="B121" s="17" t="s">
        <v>225</v>
      </c>
      <c r="C121" s="11" t="s">
        <v>224</v>
      </c>
      <c r="D121" s="27" t="s">
        <v>99</v>
      </c>
      <c r="E121" s="24">
        <v>8</v>
      </c>
      <c r="F121" s="20">
        <v>84.26</v>
      </c>
      <c r="G121" s="20">
        <f t="shared" si="15"/>
        <v>674.08</v>
      </c>
      <c r="H121" s="114">
        <f t="shared" si="13"/>
        <v>0</v>
      </c>
      <c r="I121" s="115"/>
      <c r="J121" s="116">
        <f t="shared" si="14"/>
        <v>0</v>
      </c>
      <c r="K121" s="160"/>
    </row>
    <row r="122" spans="1:11" s="4" customFormat="1" ht="24" x14ac:dyDescent="0.25">
      <c r="A122" s="146" t="s">
        <v>190</v>
      </c>
      <c r="B122" s="17" t="s">
        <v>355</v>
      </c>
      <c r="C122" s="11" t="s">
        <v>354</v>
      </c>
      <c r="D122" s="27" t="s">
        <v>99</v>
      </c>
      <c r="E122" s="24">
        <v>1</v>
      </c>
      <c r="F122" s="20">
        <v>232.49</v>
      </c>
      <c r="G122" s="20">
        <f t="shared" si="15"/>
        <v>232.49</v>
      </c>
      <c r="H122" s="114">
        <f t="shared" si="13"/>
        <v>0</v>
      </c>
      <c r="I122" s="115"/>
      <c r="J122" s="116">
        <f t="shared" si="14"/>
        <v>0</v>
      </c>
      <c r="K122" s="160"/>
    </row>
    <row r="123" spans="1:11" s="4" customFormat="1" ht="24" x14ac:dyDescent="0.25">
      <c r="A123" s="12" t="s">
        <v>193</v>
      </c>
      <c r="B123" s="17" t="s">
        <v>227</v>
      </c>
      <c r="C123" s="11" t="s">
        <v>226</v>
      </c>
      <c r="D123" s="27" t="s">
        <v>99</v>
      </c>
      <c r="E123" s="24">
        <v>3</v>
      </c>
      <c r="F123" s="20">
        <v>197.41</v>
      </c>
      <c r="G123" s="20">
        <f t="shared" si="15"/>
        <v>592.23</v>
      </c>
      <c r="H123" s="114">
        <f t="shared" si="13"/>
        <v>0</v>
      </c>
      <c r="I123" s="115"/>
      <c r="J123" s="116">
        <f t="shared" si="14"/>
        <v>0</v>
      </c>
      <c r="K123" s="160"/>
    </row>
    <row r="124" spans="1:11" s="4" customFormat="1" ht="24" x14ac:dyDescent="0.25">
      <c r="A124" s="12" t="s">
        <v>196</v>
      </c>
      <c r="B124" s="17" t="s">
        <v>332</v>
      </c>
      <c r="C124" s="11" t="s">
        <v>96</v>
      </c>
      <c r="D124" s="27" t="s">
        <v>99</v>
      </c>
      <c r="E124" s="24">
        <v>3</v>
      </c>
      <c r="F124" s="20">
        <f>20*1.15</f>
        <v>23</v>
      </c>
      <c r="G124" s="20">
        <f t="shared" si="15"/>
        <v>69</v>
      </c>
      <c r="H124" s="114">
        <f t="shared" si="13"/>
        <v>0</v>
      </c>
      <c r="I124" s="115"/>
      <c r="J124" s="116">
        <f t="shared" si="14"/>
        <v>0</v>
      </c>
      <c r="K124" s="160"/>
    </row>
    <row r="125" spans="1:11" s="4" customFormat="1" ht="24" x14ac:dyDescent="0.25">
      <c r="A125" s="12" t="s">
        <v>198</v>
      </c>
      <c r="B125" s="17" t="s">
        <v>334</v>
      </c>
      <c r="C125" s="11" t="s">
        <v>333</v>
      </c>
      <c r="D125" s="27" t="s">
        <v>99</v>
      </c>
      <c r="E125" s="24">
        <v>3</v>
      </c>
      <c r="F125" s="20">
        <v>38</v>
      </c>
      <c r="G125" s="20">
        <f t="shared" si="15"/>
        <v>114</v>
      </c>
      <c r="H125" s="114">
        <f t="shared" si="13"/>
        <v>0</v>
      </c>
      <c r="I125" s="115"/>
      <c r="J125" s="116">
        <f t="shared" si="14"/>
        <v>0</v>
      </c>
      <c r="K125" s="160"/>
    </row>
    <row r="126" spans="1:11" s="4" customFormat="1" ht="24" x14ac:dyDescent="0.25">
      <c r="A126" s="12" t="s">
        <v>199</v>
      </c>
      <c r="B126" s="17" t="s">
        <v>365</v>
      </c>
      <c r="C126" s="11" t="s">
        <v>364</v>
      </c>
      <c r="D126" s="27" t="s">
        <v>99</v>
      </c>
      <c r="E126" s="24">
        <v>1</v>
      </c>
      <c r="F126" s="20">
        <v>353.65</v>
      </c>
      <c r="G126" s="20">
        <f t="shared" si="15"/>
        <v>353.65</v>
      </c>
      <c r="H126" s="114">
        <f t="shared" si="13"/>
        <v>0</v>
      </c>
      <c r="I126" s="115"/>
      <c r="J126" s="116">
        <f t="shared" ref="J126:J154" si="16">E126*I126</f>
        <v>0</v>
      </c>
      <c r="K126" s="160"/>
    </row>
    <row r="127" spans="1:11" s="4" customFormat="1" ht="15.75" x14ac:dyDescent="0.25">
      <c r="A127" s="12" t="s">
        <v>201</v>
      </c>
      <c r="B127" s="17" t="s">
        <v>229</v>
      </c>
      <c r="C127" s="11" t="s">
        <v>228</v>
      </c>
      <c r="D127" s="27" t="s">
        <v>99</v>
      </c>
      <c r="E127" s="24">
        <v>3</v>
      </c>
      <c r="F127" s="20">
        <v>1100</v>
      </c>
      <c r="G127" s="20">
        <f t="shared" si="15"/>
        <v>3300</v>
      </c>
      <c r="H127" s="114">
        <f t="shared" si="13"/>
        <v>0</v>
      </c>
      <c r="I127" s="115"/>
      <c r="J127" s="116">
        <f t="shared" si="16"/>
        <v>0</v>
      </c>
      <c r="K127" s="160"/>
    </row>
    <row r="128" spans="1:11" s="6" customFormat="1" ht="24" x14ac:dyDescent="0.25">
      <c r="A128" s="145" t="s">
        <v>203</v>
      </c>
      <c r="B128" s="23" t="s">
        <v>231</v>
      </c>
      <c r="C128" s="21" t="s">
        <v>230</v>
      </c>
      <c r="D128" s="22" t="s">
        <v>99</v>
      </c>
      <c r="E128" s="24">
        <v>9</v>
      </c>
      <c r="F128" s="24">
        <v>32.9</v>
      </c>
      <c r="G128" s="20">
        <f t="shared" si="15"/>
        <v>296.09999999999997</v>
      </c>
      <c r="H128" s="114">
        <f t="shared" si="13"/>
        <v>0</v>
      </c>
      <c r="I128" s="115"/>
      <c r="J128" s="116">
        <f t="shared" si="16"/>
        <v>0</v>
      </c>
      <c r="K128" s="160"/>
    </row>
    <row r="129" spans="1:11" s="6" customFormat="1" ht="15.75" x14ac:dyDescent="0.25">
      <c r="A129" s="22" t="s">
        <v>204</v>
      </c>
      <c r="B129" s="23" t="s">
        <v>233</v>
      </c>
      <c r="C129" s="21" t="s">
        <v>232</v>
      </c>
      <c r="D129" s="22" t="s">
        <v>99</v>
      </c>
      <c r="E129" s="24">
        <v>21</v>
      </c>
      <c r="F129" s="24">
        <v>1.04</v>
      </c>
      <c r="G129" s="20">
        <f t="shared" si="15"/>
        <v>21.84</v>
      </c>
      <c r="H129" s="114">
        <f t="shared" si="13"/>
        <v>0</v>
      </c>
      <c r="I129" s="115"/>
      <c r="J129" s="116">
        <f t="shared" si="16"/>
        <v>0</v>
      </c>
      <c r="K129" s="160"/>
    </row>
    <row r="130" spans="1:11" s="6" customFormat="1" ht="24" x14ac:dyDescent="0.25">
      <c r="A130" s="22" t="s">
        <v>328</v>
      </c>
      <c r="B130" s="23" t="s">
        <v>234</v>
      </c>
      <c r="C130" s="21" t="s">
        <v>518</v>
      </c>
      <c r="D130" s="22" t="s">
        <v>99</v>
      </c>
      <c r="E130" s="24">
        <v>6</v>
      </c>
      <c r="F130" s="24">
        <v>4.7</v>
      </c>
      <c r="G130" s="20">
        <f t="shared" si="15"/>
        <v>28.200000000000003</v>
      </c>
      <c r="H130" s="114">
        <f t="shared" si="13"/>
        <v>0</v>
      </c>
      <c r="I130" s="115"/>
      <c r="J130" s="116">
        <f t="shared" si="16"/>
        <v>0</v>
      </c>
      <c r="K130" s="160"/>
    </row>
    <row r="131" spans="1:11" s="6" customFormat="1" ht="24" x14ac:dyDescent="0.25">
      <c r="A131" s="22" t="s">
        <v>205</v>
      </c>
      <c r="B131" s="23" t="s">
        <v>236</v>
      </c>
      <c r="C131" s="21" t="s">
        <v>235</v>
      </c>
      <c r="D131" s="22" t="s">
        <v>99</v>
      </c>
      <c r="E131" s="24">
        <v>9</v>
      </c>
      <c r="F131" s="24">
        <v>3.99</v>
      </c>
      <c r="G131" s="20">
        <f t="shared" si="15"/>
        <v>35.910000000000004</v>
      </c>
      <c r="H131" s="114">
        <f t="shared" si="13"/>
        <v>0</v>
      </c>
      <c r="I131" s="115"/>
      <c r="J131" s="116">
        <f t="shared" si="16"/>
        <v>0</v>
      </c>
      <c r="K131" s="160"/>
    </row>
    <row r="132" spans="1:11" s="4" customFormat="1" ht="15.75" x14ac:dyDescent="0.25">
      <c r="A132" s="12" t="s">
        <v>206</v>
      </c>
      <c r="B132" s="17" t="s">
        <v>238</v>
      </c>
      <c r="C132" s="11" t="s">
        <v>237</v>
      </c>
      <c r="D132" s="27" t="s">
        <v>99</v>
      </c>
      <c r="E132" s="24">
        <v>9</v>
      </c>
      <c r="F132" s="20">
        <v>12.7</v>
      </c>
      <c r="G132" s="20">
        <f t="shared" si="15"/>
        <v>114.3</v>
      </c>
      <c r="H132" s="114">
        <f t="shared" si="13"/>
        <v>0</v>
      </c>
      <c r="I132" s="115"/>
      <c r="J132" s="116">
        <f t="shared" si="16"/>
        <v>0</v>
      </c>
      <c r="K132" s="160"/>
    </row>
    <row r="133" spans="1:11" s="4" customFormat="1" ht="15.75" x14ac:dyDescent="0.25">
      <c r="A133" s="12" t="s">
        <v>209</v>
      </c>
      <c r="B133" s="17" t="s">
        <v>240</v>
      </c>
      <c r="C133" s="11" t="s">
        <v>239</v>
      </c>
      <c r="D133" s="27" t="s">
        <v>99</v>
      </c>
      <c r="E133" s="24">
        <v>9</v>
      </c>
      <c r="F133" s="20">
        <v>17</v>
      </c>
      <c r="G133" s="20">
        <f t="shared" si="15"/>
        <v>153</v>
      </c>
      <c r="H133" s="114">
        <f t="shared" si="13"/>
        <v>0</v>
      </c>
      <c r="I133" s="115"/>
      <c r="J133" s="116">
        <f t="shared" si="16"/>
        <v>0</v>
      </c>
      <c r="K133" s="160"/>
    </row>
    <row r="134" spans="1:11" s="4" customFormat="1" ht="26.25" customHeight="1" x14ac:dyDescent="0.25">
      <c r="A134" s="12" t="s">
        <v>211</v>
      </c>
      <c r="B134" s="17" t="s">
        <v>242</v>
      </c>
      <c r="C134" s="11" t="s">
        <v>241</v>
      </c>
      <c r="D134" s="27" t="s">
        <v>99</v>
      </c>
      <c r="E134" s="24">
        <v>9</v>
      </c>
      <c r="F134" s="20">
        <v>13</v>
      </c>
      <c r="G134" s="20">
        <f t="shared" si="15"/>
        <v>117</v>
      </c>
      <c r="H134" s="114">
        <f t="shared" si="13"/>
        <v>0</v>
      </c>
      <c r="I134" s="115"/>
      <c r="J134" s="116">
        <f t="shared" si="16"/>
        <v>0</v>
      </c>
      <c r="K134" s="160"/>
    </row>
    <row r="135" spans="1:11" s="4" customFormat="1" ht="15.75" x14ac:dyDescent="0.25">
      <c r="A135" s="12" t="s">
        <v>212</v>
      </c>
      <c r="B135" s="17" t="s">
        <v>244</v>
      </c>
      <c r="C135" s="11" t="s">
        <v>243</v>
      </c>
      <c r="D135" s="27" t="s">
        <v>99</v>
      </c>
      <c r="E135" s="24">
        <v>9</v>
      </c>
      <c r="F135" s="20">
        <v>3.07</v>
      </c>
      <c r="G135" s="20">
        <f t="shared" si="15"/>
        <v>27.63</v>
      </c>
      <c r="H135" s="114">
        <f t="shared" si="13"/>
        <v>0</v>
      </c>
      <c r="I135" s="115"/>
      <c r="J135" s="116">
        <f t="shared" si="16"/>
        <v>0</v>
      </c>
      <c r="K135" s="160"/>
    </row>
    <row r="136" spans="1:11" s="4" customFormat="1" ht="15.75" x14ac:dyDescent="0.25">
      <c r="A136" s="12" t="s">
        <v>213</v>
      </c>
      <c r="B136" s="17" t="s">
        <v>246</v>
      </c>
      <c r="C136" s="11" t="s">
        <v>245</v>
      </c>
      <c r="D136" s="27" t="s">
        <v>44</v>
      </c>
      <c r="E136" s="24">
        <v>6</v>
      </c>
      <c r="F136" s="20">
        <v>15.85</v>
      </c>
      <c r="G136" s="20">
        <f t="shared" si="15"/>
        <v>95.1</v>
      </c>
      <c r="H136" s="114">
        <f t="shared" si="13"/>
        <v>0</v>
      </c>
      <c r="I136" s="115"/>
      <c r="J136" s="116">
        <f t="shared" si="16"/>
        <v>0</v>
      </c>
      <c r="K136" s="160"/>
    </row>
    <row r="137" spans="1:11" s="4" customFormat="1" ht="24" x14ac:dyDescent="0.25">
      <c r="A137" s="12" t="s">
        <v>214</v>
      </c>
      <c r="B137" s="17" t="s">
        <v>376</v>
      </c>
      <c r="C137" s="11" t="s">
        <v>519</v>
      </c>
      <c r="D137" s="27" t="s">
        <v>44</v>
      </c>
      <c r="E137" s="24">
        <v>40</v>
      </c>
      <c r="F137" s="20">
        <v>3.15</v>
      </c>
      <c r="G137" s="20">
        <f t="shared" si="15"/>
        <v>126</v>
      </c>
      <c r="H137" s="114">
        <f t="shared" si="13"/>
        <v>0</v>
      </c>
      <c r="I137" s="115"/>
      <c r="J137" s="116">
        <f t="shared" si="16"/>
        <v>0</v>
      </c>
      <c r="K137" s="160"/>
    </row>
    <row r="138" spans="1:11" s="4" customFormat="1" ht="36" x14ac:dyDescent="0.25">
      <c r="A138" s="12" t="s">
        <v>215</v>
      </c>
      <c r="B138" s="17" t="s">
        <v>367</v>
      </c>
      <c r="C138" s="11" t="s">
        <v>96</v>
      </c>
      <c r="D138" s="27" t="s">
        <v>44</v>
      </c>
      <c r="E138" s="24">
        <v>15</v>
      </c>
      <c r="F138" s="20">
        <f>35*1.15</f>
        <v>40.25</v>
      </c>
      <c r="G138" s="20">
        <f t="shared" si="15"/>
        <v>603.75</v>
      </c>
      <c r="H138" s="114">
        <f t="shared" si="13"/>
        <v>0</v>
      </c>
      <c r="I138" s="115"/>
      <c r="J138" s="116">
        <f t="shared" si="16"/>
        <v>0</v>
      </c>
      <c r="K138" s="160"/>
    </row>
    <row r="139" spans="1:11" s="4" customFormat="1" ht="15.75" x14ac:dyDescent="0.25">
      <c r="A139" s="12" t="s">
        <v>216</v>
      </c>
      <c r="B139" s="17" t="s">
        <v>248</v>
      </c>
      <c r="C139" s="11" t="s">
        <v>247</v>
      </c>
      <c r="D139" s="27" t="s">
        <v>99</v>
      </c>
      <c r="E139" s="24">
        <v>6</v>
      </c>
      <c r="F139" s="20">
        <v>88</v>
      </c>
      <c r="G139" s="20">
        <f t="shared" si="15"/>
        <v>528</v>
      </c>
      <c r="H139" s="114">
        <f t="shared" si="13"/>
        <v>0</v>
      </c>
      <c r="I139" s="115"/>
      <c r="J139" s="116">
        <f t="shared" si="16"/>
        <v>0</v>
      </c>
      <c r="K139" s="160"/>
    </row>
    <row r="140" spans="1:11" s="6" customFormat="1" ht="24" x14ac:dyDescent="0.25">
      <c r="A140" s="22" t="s">
        <v>217</v>
      </c>
      <c r="B140" s="23" t="s">
        <v>361</v>
      </c>
      <c r="C140" s="21" t="s">
        <v>423</v>
      </c>
      <c r="D140" s="22" t="s">
        <v>99</v>
      </c>
      <c r="E140" s="24">
        <v>1</v>
      </c>
      <c r="F140" s="24">
        <v>13374.51</v>
      </c>
      <c r="G140" s="20">
        <f t="shared" si="15"/>
        <v>13374.51</v>
      </c>
      <c r="H140" s="114">
        <f t="shared" si="13"/>
        <v>0</v>
      </c>
      <c r="I140" s="115"/>
      <c r="J140" s="116">
        <f t="shared" si="16"/>
        <v>0</v>
      </c>
      <c r="K140" s="160"/>
    </row>
    <row r="141" spans="1:11" s="4" customFormat="1" ht="24" x14ac:dyDescent="0.25">
      <c r="A141" s="12" t="s">
        <v>218</v>
      </c>
      <c r="B141" s="17" t="s">
        <v>362</v>
      </c>
      <c r="C141" s="11" t="s">
        <v>96</v>
      </c>
      <c r="D141" s="27" t="s">
        <v>99</v>
      </c>
      <c r="E141" s="24">
        <v>1</v>
      </c>
      <c r="F141" s="20">
        <f>2662.5*1.15</f>
        <v>3061.8749999999995</v>
      </c>
      <c r="G141" s="20">
        <f t="shared" si="15"/>
        <v>3061.8749999999995</v>
      </c>
      <c r="H141" s="114">
        <f t="shared" si="13"/>
        <v>0</v>
      </c>
      <c r="I141" s="115"/>
      <c r="J141" s="116">
        <f t="shared" si="16"/>
        <v>0</v>
      </c>
      <c r="K141" s="160"/>
    </row>
    <row r="142" spans="1:11" s="6" customFormat="1" ht="15.75" x14ac:dyDescent="0.25">
      <c r="A142" s="22" t="s">
        <v>219</v>
      </c>
      <c r="B142" s="23" t="s">
        <v>250</v>
      </c>
      <c r="C142" s="21" t="s">
        <v>249</v>
      </c>
      <c r="D142" s="22" t="s">
        <v>99</v>
      </c>
      <c r="E142" s="24">
        <v>30</v>
      </c>
      <c r="F142" s="24">
        <v>0.95</v>
      </c>
      <c r="G142" s="20">
        <f t="shared" si="15"/>
        <v>28.5</v>
      </c>
      <c r="H142" s="114">
        <f t="shared" si="13"/>
        <v>0</v>
      </c>
      <c r="I142" s="115"/>
      <c r="J142" s="116">
        <f t="shared" si="16"/>
        <v>0</v>
      </c>
      <c r="K142" s="160"/>
    </row>
    <row r="143" spans="1:11" s="6" customFormat="1" ht="15.75" x14ac:dyDescent="0.25">
      <c r="A143" s="22" t="s">
        <v>220</v>
      </c>
      <c r="B143" s="23" t="s">
        <v>251</v>
      </c>
      <c r="C143" s="21" t="s">
        <v>421</v>
      </c>
      <c r="D143" s="22" t="s">
        <v>99</v>
      </c>
      <c r="E143" s="24">
        <v>30</v>
      </c>
      <c r="F143" s="24">
        <v>0.44</v>
      </c>
      <c r="G143" s="20">
        <f t="shared" si="15"/>
        <v>13.2</v>
      </c>
      <c r="H143" s="114">
        <f t="shared" si="13"/>
        <v>0</v>
      </c>
      <c r="I143" s="115"/>
      <c r="J143" s="116">
        <f t="shared" si="16"/>
        <v>0</v>
      </c>
      <c r="K143" s="160"/>
    </row>
    <row r="144" spans="1:11" s="4" customFormat="1" ht="15.75" x14ac:dyDescent="0.25">
      <c r="A144" s="12" t="s">
        <v>222</v>
      </c>
      <c r="B144" s="17" t="s">
        <v>252</v>
      </c>
      <c r="C144" s="11" t="s">
        <v>96</v>
      </c>
      <c r="D144" s="27" t="s">
        <v>99</v>
      </c>
      <c r="E144" s="24">
        <v>60</v>
      </c>
      <c r="F144" s="20">
        <f>2.3*1.15</f>
        <v>2.6449999999999996</v>
      </c>
      <c r="G144" s="20">
        <f t="shared" si="15"/>
        <v>158.69999999999999</v>
      </c>
      <c r="H144" s="114">
        <f t="shared" si="13"/>
        <v>0</v>
      </c>
      <c r="I144" s="115"/>
      <c r="J144" s="116">
        <f t="shared" si="16"/>
        <v>0</v>
      </c>
      <c r="K144" s="160"/>
    </row>
    <row r="145" spans="1:11" s="4" customFormat="1" ht="15.75" x14ac:dyDescent="0.25">
      <c r="A145" s="12" t="s">
        <v>331</v>
      </c>
      <c r="B145" s="17" t="s">
        <v>253</v>
      </c>
      <c r="C145" s="11" t="s">
        <v>96</v>
      </c>
      <c r="D145" s="27" t="s">
        <v>99</v>
      </c>
      <c r="E145" s="24">
        <v>60</v>
      </c>
      <c r="F145" s="20">
        <v>0.55000000000000004</v>
      </c>
      <c r="G145" s="20">
        <f t="shared" si="15"/>
        <v>33</v>
      </c>
      <c r="H145" s="114">
        <f t="shared" si="13"/>
        <v>0</v>
      </c>
      <c r="I145" s="115"/>
      <c r="J145" s="116">
        <f t="shared" si="16"/>
        <v>0</v>
      </c>
      <c r="K145" s="160"/>
    </row>
    <row r="146" spans="1:11" s="4" customFormat="1" ht="24" x14ac:dyDescent="0.25">
      <c r="A146" s="12" t="s">
        <v>338</v>
      </c>
      <c r="B146" s="17" t="s">
        <v>312</v>
      </c>
      <c r="C146" s="11" t="s">
        <v>311</v>
      </c>
      <c r="D146" s="27" t="s">
        <v>99</v>
      </c>
      <c r="E146" s="24">
        <v>3</v>
      </c>
      <c r="F146" s="20">
        <v>238</v>
      </c>
      <c r="G146" s="20">
        <f t="shared" si="15"/>
        <v>714</v>
      </c>
      <c r="H146" s="114">
        <f t="shared" si="13"/>
        <v>0</v>
      </c>
      <c r="I146" s="115"/>
      <c r="J146" s="116">
        <f t="shared" si="16"/>
        <v>0</v>
      </c>
      <c r="K146" s="160"/>
    </row>
    <row r="147" spans="1:11" s="6" customFormat="1" ht="15.75" x14ac:dyDescent="0.25">
      <c r="A147" s="22" t="s">
        <v>339</v>
      </c>
      <c r="B147" s="23" t="s">
        <v>358</v>
      </c>
      <c r="C147" s="21" t="s">
        <v>422</v>
      </c>
      <c r="D147" s="22" t="s">
        <v>99</v>
      </c>
      <c r="E147" s="24">
        <v>3</v>
      </c>
      <c r="F147" s="24">
        <v>6.15</v>
      </c>
      <c r="G147" s="20">
        <f t="shared" si="15"/>
        <v>18.450000000000003</v>
      </c>
      <c r="H147" s="114">
        <f t="shared" si="13"/>
        <v>0</v>
      </c>
      <c r="I147" s="115"/>
      <c r="J147" s="116">
        <f t="shared" si="16"/>
        <v>0</v>
      </c>
      <c r="K147" s="160"/>
    </row>
    <row r="148" spans="1:11" s="4" customFormat="1" ht="24" x14ac:dyDescent="0.25">
      <c r="A148" s="12" t="s">
        <v>345</v>
      </c>
      <c r="B148" s="17" t="s">
        <v>313</v>
      </c>
      <c r="C148" s="11" t="s">
        <v>315</v>
      </c>
      <c r="D148" s="27" t="s">
        <v>99</v>
      </c>
      <c r="E148" s="24">
        <v>60</v>
      </c>
      <c r="F148" s="20">
        <v>20.57</v>
      </c>
      <c r="G148" s="20">
        <f t="shared" si="15"/>
        <v>1234.2</v>
      </c>
      <c r="H148" s="114">
        <f t="shared" si="13"/>
        <v>0</v>
      </c>
      <c r="I148" s="115"/>
      <c r="J148" s="116">
        <f t="shared" si="16"/>
        <v>0</v>
      </c>
      <c r="K148" s="160"/>
    </row>
    <row r="149" spans="1:11" s="4" customFormat="1" ht="24" x14ac:dyDescent="0.25">
      <c r="A149" s="12" t="s">
        <v>346</v>
      </c>
      <c r="B149" s="17" t="s">
        <v>255</v>
      </c>
      <c r="C149" s="11" t="s">
        <v>254</v>
      </c>
      <c r="D149" s="27" t="s">
        <v>99</v>
      </c>
      <c r="E149" s="24">
        <v>9</v>
      </c>
      <c r="F149" s="20">
        <v>133.69999999999999</v>
      </c>
      <c r="G149" s="20">
        <f t="shared" si="15"/>
        <v>1203.3</v>
      </c>
      <c r="H149" s="114">
        <f t="shared" si="13"/>
        <v>0</v>
      </c>
      <c r="I149" s="115"/>
      <c r="J149" s="116">
        <f t="shared" si="16"/>
        <v>0</v>
      </c>
      <c r="K149" s="160"/>
    </row>
    <row r="150" spans="1:11" s="4" customFormat="1" ht="15.75" x14ac:dyDescent="0.25">
      <c r="A150" s="12" t="s">
        <v>347</v>
      </c>
      <c r="B150" s="17" t="s">
        <v>341</v>
      </c>
      <c r="C150" s="11" t="s">
        <v>340</v>
      </c>
      <c r="D150" s="27" t="s">
        <v>99</v>
      </c>
      <c r="E150" s="24">
        <v>3</v>
      </c>
      <c r="F150" s="20">
        <v>995.48</v>
      </c>
      <c r="G150" s="20">
        <f t="shared" si="15"/>
        <v>2986.44</v>
      </c>
      <c r="H150" s="114">
        <f t="shared" si="13"/>
        <v>0</v>
      </c>
      <c r="I150" s="115"/>
      <c r="J150" s="116">
        <f t="shared" si="16"/>
        <v>0</v>
      </c>
      <c r="K150" s="160"/>
    </row>
    <row r="151" spans="1:11" s="5" customFormat="1" ht="15.75" x14ac:dyDescent="0.25">
      <c r="A151" s="22" t="s">
        <v>348</v>
      </c>
      <c r="B151" s="23" t="s">
        <v>342</v>
      </c>
      <c r="C151" s="21" t="s">
        <v>96</v>
      </c>
      <c r="D151" s="22" t="s">
        <v>99</v>
      </c>
      <c r="E151" s="24">
        <v>3</v>
      </c>
      <c r="F151" s="24">
        <v>500</v>
      </c>
      <c r="G151" s="20">
        <f t="shared" si="15"/>
        <v>1500</v>
      </c>
      <c r="H151" s="114">
        <f t="shared" si="13"/>
        <v>0</v>
      </c>
      <c r="I151" s="115"/>
      <c r="J151" s="116">
        <f t="shared" si="16"/>
        <v>0</v>
      </c>
      <c r="K151" s="160"/>
    </row>
    <row r="152" spans="1:11" s="4" customFormat="1" ht="15.75" x14ac:dyDescent="0.25">
      <c r="A152" s="12" t="s">
        <v>363</v>
      </c>
      <c r="B152" s="17" t="s">
        <v>344</v>
      </c>
      <c r="C152" s="11" t="s">
        <v>343</v>
      </c>
      <c r="D152" s="27" t="s">
        <v>99</v>
      </c>
      <c r="E152" s="24">
        <v>89.07</v>
      </c>
      <c r="F152" s="20">
        <v>34.69</v>
      </c>
      <c r="G152" s="20">
        <f t="shared" si="15"/>
        <v>3089.8382999999994</v>
      </c>
      <c r="H152" s="114">
        <f t="shared" si="13"/>
        <v>0</v>
      </c>
      <c r="I152" s="115"/>
      <c r="J152" s="116">
        <f t="shared" si="16"/>
        <v>0</v>
      </c>
      <c r="K152" s="160"/>
    </row>
    <row r="153" spans="1:11" s="4" customFormat="1" ht="15.75" x14ac:dyDescent="0.25">
      <c r="A153" s="12" t="s">
        <v>366</v>
      </c>
      <c r="B153" s="17" t="s">
        <v>520</v>
      </c>
      <c r="C153" s="11" t="s">
        <v>521</v>
      </c>
      <c r="D153" s="27" t="s">
        <v>99</v>
      </c>
      <c r="E153" s="24">
        <v>1</v>
      </c>
      <c r="F153" s="20">
        <v>1105.4100000000001</v>
      </c>
      <c r="G153" s="20">
        <f t="shared" si="15"/>
        <v>1105.4100000000001</v>
      </c>
      <c r="H153" s="114">
        <f t="shared" si="13"/>
        <v>0</v>
      </c>
      <c r="I153" s="115"/>
      <c r="J153" s="116">
        <f t="shared" si="16"/>
        <v>0</v>
      </c>
      <c r="K153" s="160"/>
    </row>
    <row r="154" spans="1:11" s="4" customFormat="1" ht="48" x14ac:dyDescent="0.25">
      <c r="A154" s="12" t="s">
        <v>368</v>
      </c>
      <c r="B154" s="17" t="s">
        <v>314</v>
      </c>
      <c r="C154" s="11" t="s">
        <v>96</v>
      </c>
      <c r="D154" s="27" t="s">
        <v>99</v>
      </c>
      <c r="E154" s="24">
        <v>1</v>
      </c>
      <c r="F154" s="20">
        <f>2586*1.15</f>
        <v>2973.8999999999996</v>
      </c>
      <c r="G154" s="20">
        <f t="shared" si="15"/>
        <v>2973.8999999999996</v>
      </c>
      <c r="H154" s="114">
        <f t="shared" si="13"/>
        <v>0</v>
      </c>
      <c r="I154" s="115"/>
      <c r="J154" s="116">
        <f t="shared" si="16"/>
        <v>0</v>
      </c>
      <c r="K154" s="160"/>
    </row>
    <row r="155" spans="1:11" s="121" customFormat="1" x14ac:dyDescent="0.25">
      <c r="A155" s="155"/>
      <c r="B155" s="155"/>
      <c r="C155" s="155"/>
      <c r="D155" s="155"/>
      <c r="E155" s="155"/>
      <c r="F155" s="155"/>
      <c r="G155" s="155"/>
    </row>
    <row r="156" spans="1:11" s="4" customFormat="1" ht="16.5" x14ac:dyDescent="0.25">
      <c r="A156" s="38" t="s">
        <v>465</v>
      </c>
      <c r="B156" s="154" t="s">
        <v>388</v>
      </c>
      <c r="C156" s="154"/>
      <c r="D156" s="154"/>
      <c r="E156" s="154"/>
      <c r="F156" s="154"/>
      <c r="G156" s="39">
        <f>SUM(G157:G166)</f>
        <v>2869.0005500000002</v>
      </c>
      <c r="H156" s="110"/>
      <c r="I156" s="111"/>
      <c r="J156" s="112"/>
      <c r="K156" s="113">
        <f>SUM(J157:J163)</f>
        <v>0</v>
      </c>
    </row>
    <row r="157" spans="1:11" s="4" customFormat="1" ht="24" x14ac:dyDescent="0.25">
      <c r="A157" s="12" t="s">
        <v>256</v>
      </c>
      <c r="B157" s="17" t="s">
        <v>258</v>
      </c>
      <c r="C157" s="11" t="s">
        <v>257</v>
      </c>
      <c r="D157" s="14" t="s">
        <v>44</v>
      </c>
      <c r="E157" s="15">
        <v>15</v>
      </c>
      <c r="F157" s="16">
        <v>17.93</v>
      </c>
      <c r="G157" s="20">
        <f>E157*F157</f>
        <v>268.95</v>
      </c>
      <c r="H157" s="114">
        <f t="shared" ref="H157:H166" si="17">IF(I157="",0,(I157/F157-1))</f>
        <v>0</v>
      </c>
      <c r="I157" s="115"/>
      <c r="J157" s="116">
        <f>E157*I157</f>
        <v>0</v>
      </c>
      <c r="K157" s="160"/>
    </row>
    <row r="158" spans="1:11" s="4" customFormat="1" ht="24" x14ac:dyDescent="0.25">
      <c r="A158" s="12" t="s">
        <v>369</v>
      </c>
      <c r="B158" s="17" t="s">
        <v>394</v>
      </c>
      <c r="C158" s="11" t="s">
        <v>393</v>
      </c>
      <c r="D158" s="14" t="s">
        <v>44</v>
      </c>
      <c r="E158" s="15">
        <v>50</v>
      </c>
      <c r="F158" s="16">
        <v>18.18</v>
      </c>
      <c r="G158" s="20">
        <f t="shared" ref="G158:G166" si="18">E158*F158</f>
        <v>909</v>
      </c>
      <c r="H158" s="114">
        <f t="shared" si="17"/>
        <v>0</v>
      </c>
      <c r="I158" s="115"/>
      <c r="J158" s="116">
        <f t="shared" ref="J158:J166" si="19">E158*I158</f>
        <v>0</v>
      </c>
      <c r="K158" s="160"/>
    </row>
    <row r="159" spans="1:11" s="4" customFormat="1" ht="15.75" x14ac:dyDescent="0.25">
      <c r="A159" s="12" t="s">
        <v>370</v>
      </c>
      <c r="B159" s="17" t="s">
        <v>392</v>
      </c>
      <c r="C159" s="11" t="s">
        <v>96</v>
      </c>
      <c r="D159" s="14" t="s">
        <v>99</v>
      </c>
      <c r="E159" s="15">
        <v>6</v>
      </c>
      <c r="F159" s="16">
        <f>10*1.15</f>
        <v>11.5</v>
      </c>
      <c r="G159" s="20">
        <f t="shared" si="18"/>
        <v>69</v>
      </c>
      <c r="H159" s="114">
        <f t="shared" si="17"/>
        <v>0</v>
      </c>
      <c r="I159" s="115"/>
      <c r="J159" s="116">
        <f t="shared" si="19"/>
        <v>0</v>
      </c>
      <c r="K159" s="160"/>
    </row>
    <row r="160" spans="1:11" s="4" customFormat="1" ht="15.75" x14ac:dyDescent="0.25">
      <c r="A160" s="12" t="s">
        <v>371</v>
      </c>
      <c r="B160" s="17" t="s">
        <v>396</v>
      </c>
      <c r="C160" s="11" t="s">
        <v>395</v>
      </c>
      <c r="D160" s="14" t="s">
        <v>99</v>
      </c>
      <c r="E160" s="15">
        <v>6</v>
      </c>
      <c r="F160" s="16">
        <v>4.66</v>
      </c>
      <c r="G160" s="20">
        <f t="shared" si="18"/>
        <v>27.96</v>
      </c>
      <c r="H160" s="114">
        <f t="shared" si="17"/>
        <v>0</v>
      </c>
      <c r="I160" s="115"/>
      <c r="J160" s="116">
        <f t="shared" si="19"/>
        <v>0</v>
      </c>
      <c r="K160" s="160"/>
    </row>
    <row r="161" spans="1:11" s="4" customFormat="1" ht="15.75" x14ac:dyDescent="0.25">
      <c r="A161" s="12" t="s">
        <v>372</v>
      </c>
      <c r="B161" s="17" t="s">
        <v>397</v>
      </c>
      <c r="C161" s="11" t="s">
        <v>398</v>
      </c>
      <c r="D161" s="14" t="s">
        <v>99</v>
      </c>
      <c r="E161" s="15">
        <v>6</v>
      </c>
      <c r="F161" s="16">
        <v>5.45</v>
      </c>
      <c r="G161" s="20">
        <f t="shared" si="18"/>
        <v>32.700000000000003</v>
      </c>
      <c r="H161" s="114">
        <f t="shared" si="17"/>
        <v>0</v>
      </c>
      <c r="I161" s="115"/>
      <c r="J161" s="116">
        <f t="shared" si="19"/>
        <v>0</v>
      </c>
      <c r="K161" s="160"/>
    </row>
    <row r="162" spans="1:11" s="4" customFormat="1" ht="15.75" x14ac:dyDescent="0.25">
      <c r="A162" s="12" t="s">
        <v>373</v>
      </c>
      <c r="B162" s="17" t="s">
        <v>375</v>
      </c>
      <c r="C162" s="11" t="s">
        <v>374</v>
      </c>
      <c r="D162" s="14" t="s">
        <v>99</v>
      </c>
      <c r="E162" s="15">
        <v>6</v>
      </c>
      <c r="F162" s="16">
        <v>3.85</v>
      </c>
      <c r="G162" s="20">
        <f t="shared" si="18"/>
        <v>23.1</v>
      </c>
      <c r="H162" s="114">
        <f t="shared" si="17"/>
        <v>0</v>
      </c>
      <c r="I162" s="115"/>
      <c r="J162" s="116">
        <f t="shared" si="19"/>
        <v>0</v>
      </c>
      <c r="K162" s="160"/>
    </row>
    <row r="163" spans="1:11" s="4" customFormat="1" ht="24" x14ac:dyDescent="0.25">
      <c r="A163" s="12" t="s">
        <v>390</v>
      </c>
      <c r="B163" s="17" t="s">
        <v>391</v>
      </c>
      <c r="C163" s="11" t="s">
        <v>389</v>
      </c>
      <c r="D163" s="14" t="s">
        <v>44</v>
      </c>
      <c r="E163" s="15">
        <v>30</v>
      </c>
      <c r="F163" s="16">
        <v>42.34</v>
      </c>
      <c r="G163" s="20">
        <f t="shared" si="18"/>
        <v>1270.2</v>
      </c>
      <c r="H163" s="114">
        <f t="shared" si="17"/>
        <v>0</v>
      </c>
      <c r="I163" s="115"/>
      <c r="J163" s="116">
        <f t="shared" si="19"/>
        <v>0</v>
      </c>
      <c r="K163" s="160"/>
    </row>
    <row r="164" spans="1:11" s="4" customFormat="1" ht="24" x14ac:dyDescent="0.25">
      <c r="A164" s="12" t="s">
        <v>403</v>
      </c>
      <c r="B164" s="17" t="s">
        <v>399</v>
      </c>
      <c r="C164" s="11" t="s">
        <v>400</v>
      </c>
      <c r="D164" s="14" t="s">
        <v>15</v>
      </c>
      <c r="E164" s="15">
        <v>0.99</v>
      </c>
      <c r="F164" s="16">
        <v>20.260000000000002</v>
      </c>
      <c r="G164" s="20">
        <f t="shared" si="18"/>
        <v>20.057400000000001</v>
      </c>
      <c r="H164" s="114">
        <f t="shared" si="17"/>
        <v>0</v>
      </c>
      <c r="I164" s="115"/>
      <c r="J164" s="116">
        <f t="shared" si="19"/>
        <v>0</v>
      </c>
      <c r="K164" s="160"/>
    </row>
    <row r="165" spans="1:11" s="4" customFormat="1" ht="36" x14ac:dyDescent="0.25">
      <c r="A165" s="12" t="s">
        <v>404</v>
      </c>
      <c r="B165" s="17" t="s">
        <v>401</v>
      </c>
      <c r="C165" s="11" t="s">
        <v>402</v>
      </c>
      <c r="D165" s="14" t="s">
        <v>5</v>
      </c>
      <c r="E165" s="15">
        <v>3.5</v>
      </c>
      <c r="F165" s="16">
        <v>64.56</v>
      </c>
      <c r="G165" s="20">
        <f t="shared" si="18"/>
        <v>225.96</v>
      </c>
      <c r="H165" s="114">
        <f t="shared" si="17"/>
        <v>0</v>
      </c>
      <c r="I165" s="115"/>
      <c r="J165" s="116">
        <f t="shared" si="19"/>
        <v>0</v>
      </c>
      <c r="K165" s="160"/>
    </row>
    <row r="166" spans="1:11" s="4" customFormat="1" ht="15.75" x14ac:dyDescent="0.25">
      <c r="A166" s="12" t="s">
        <v>405</v>
      </c>
      <c r="B166" s="17" t="s">
        <v>406</v>
      </c>
      <c r="C166" s="11" t="s">
        <v>424</v>
      </c>
      <c r="D166" s="14" t="s">
        <v>15</v>
      </c>
      <c r="E166" s="15">
        <v>6.7000000000000004E-2</v>
      </c>
      <c r="F166" s="16">
        <v>329.45</v>
      </c>
      <c r="G166" s="20">
        <f t="shared" si="18"/>
        <v>22.073150000000002</v>
      </c>
      <c r="H166" s="114">
        <f t="shared" si="17"/>
        <v>0</v>
      </c>
      <c r="I166" s="115"/>
      <c r="J166" s="116">
        <f t="shared" si="19"/>
        <v>0</v>
      </c>
      <c r="K166" s="160"/>
    </row>
    <row r="167" spans="1:11" s="121" customFormat="1" x14ac:dyDescent="0.25">
      <c r="A167" s="155"/>
      <c r="B167" s="155"/>
      <c r="C167" s="155"/>
      <c r="D167" s="155"/>
      <c r="E167" s="155"/>
      <c r="F167" s="155"/>
      <c r="G167" s="155"/>
    </row>
    <row r="168" spans="1:11" s="4" customFormat="1" ht="16.5" x14ac:dyDescent="0.25">
      <c r="A168" s="38" t="s">
        <v>452</v>
      </c>
      <c r="B168" s="154" t="s">
        <v>259</v>
      </c>
      <c r="C168" s="154"/>
      <c r="D168" s="154"/>
      <c r="E168" s="154"/>
      <c r="F168" s="154"/>
      <c r="G168" s="39">
        <f>SUM(G169:G185)</f>
        <v>12067.54</v>
      </c>
      <c r="H168" s="110"/>
      <c r="I168" s="111"/>
      <c r="J168" s="112"/>
      <c r="K168" s="113">
        <f>SUM(J169:J175)</f>
        <v>0</v>
      </c>
    </row>
    <row r="169" spans="1:11" s="4" customFormat="1" ht="15.75" x14ac:dyDescent="0.25">
      <c r="A169" s="12" t="s">
        <v>261</v>
      </c>
      <c r="B169" s="26" t="s">
        <v>262</v>
      </c>
      <c r="C169" s="11" t="s">
        <v>260</v>
      </c>
      <c r="D169" s="27" t="s">
        <v>44</v>
      </c>
      <c r="E169" s="16">
        <v>70</v>
      </c>
      <c r="F169" s="16">
        <v>27.03</v>
      </c>
      <c r="G169" s="20">
        <f>E169*F169</f>
        <v>1892.1000000000001</v>
      </c>
      <c r="H169" s="114">
        <f t="shared" ref="H169:H185" si="20">IF(I169="",0,(I169/F169-1))</f>
        <v>0</v>
      </c>
      <c r="I169" s="115"/>
      <c r="J169" s="116">
        <f t="shared" ref="J169:J178" si="21">E169*I169</f>
        <v>0</v>
      </c>
      <c r="K169" s="160"/>
    </row>
    <row r="170" spans="1:11" s="4" customFormat="1" ht="15.75" x14ac:dyDescent="0.25">
      <c r="A170" s="146" t="s">
        <v>264</v>
      </c>
      <c r="B170" s="26" t="s">
        <v>265</v>
      </c>
      <c r="C170" s="11" t="s">
        <v>263</v>
      </c>
      <c r="D170" s="27" t="s">
        <v>44</v>
      </c>
      <c r="E170" s="16">
        <v>60</v>
      </c>
      <c r="F170" s="16">
        <v>20.18</v>
      </c>
      <c r="G170" s="20">
        <f t="shared" ref="G170:G185" si="22">E170*F170</f>
        <v>1210.8</v>
      </c>
      <c r="H170" s="114">
        <f t="shared" si="20"/>
        <v>0</v>
      </c>
      <c r="I170" s="115"/>
      <c r="J170" s="116">
        <f t="shared" si="21"/>
        <v>0</v>
      </c>
      <c r="K170" s="160"/>
    </row>
    <row r="171" spans="1:11" s="4" customFormat="1" ht="24" x14ac:dyDescent="0.25">
      <c r="A171" s="12" t="s">
        <v>266</v>
      </c>
      <c r="B171" s="26" t="s">
        <v>267</v>
      </c>
      <c r="C171" s="11" t="s">
        <v>96</v>
      </c>
      <c r="D171" s="27" t="s">
        <v>99</v>
      </c>
      <c r="E171" s="16">
        <v>3</v>
      </c>
      <c r="F171" s="16">
        <f>102.82*1.25</f>
        <v>128.52499999999998</v>
      </c>
      <c r="G171" s="20">
        <f t="shared" si="22"/>
        <v>385.57499999999993</v>
      </c>
      <c r="H171" s="114">
        <f t="shared" si="20"/>
        <v>0</v>
      </c>
      <c r="I171" s="115"/>
      <c r="J171" s="116">
        <f t="shared" si="21"/>
        <v>0</v>
      </c>
      <c r="K171" s="160"/>
    </row>
    <row r="172" spans="1:11" s="4" customFormat="1" ht="15.75" x14ac:dyDescent="0.25">
      <c r="A172" s="12" t="s">
        <v>268</v>
      </c>
      <c r="B172" s="26" t="s">
        <v>269</v>
      </c>
      <c r="C172" s="11" t="s">
        <v>96</v>
      </c>
      <c r="D172" s="27" t="s">
        <v>99</v>
      </c>
      <c r="E172" s="16">
        <v>4</v>
      </c>
      <c r="F172" s="16">
        <f>3.71*1.25</f>
        <v>4.6375000000000002</v>
      </c>
      <c r="G172" s="20">
        <f t="shared" si="22"/>
        <v>18.55</v>
      </c>
      <c r="H172" s="114">
        <f t="shared" si="20"/>
        <v>0</v>
      </c>
      <c r="I172" s="115"/>
      <c r="J172" s="116">
        <f t="shared" si="21"/>
        <v>0</v>
      </c>
      <c r="K172" s="160"/>
    </row>
    <row r="173" spans="1:11" s="4" customFormat="1" ht="15.75" x14ac:dyDescent="0.25">
      <c r="A173" s="12" t="s">
        <v>271</v>
      </c>
      <c r="B173" s="26" t="s">
        <v>272</v>
      </c>
      <c r="C173" s="11" t="s">
        <v>270</v>
      </c>
      <c r="D173" s="27" t="s">
        <v>99</v>
      </c>
      <c r="E173" s="16">
        <v>5</v>
      </c>
      <c r="F173" s="16">
        <v>28.48</v>
      </c>
      <c r="G173" s="20">
        <f t="shared" si="22"/>
        <v>142.4</v>
      </c>
      <c r="H173" s="114">
        <f t="shared" si="20"/>
        <v>0</v>
      </c>
      <c r="I173" s="115"/>
      <c r="J173" s="116">
        <f t="shared" si="21"/>
        <v>0</v>
      </c>
      <c r="K173" s="160"/>
    </row>
    <row r="174" spans="1:11" s="4" customFormat="1" ht="15.75" x14ac:dyDescent="0.25">
      <c r="A174" s="12" t="s">
        <v>274</v>
      </c>
      <c r="B174" s="26" t="s">
        <v>275</v>
      </c>
      <c r="C174" s="11" t="s">
        <v>273</v>
      </c>
      <c r="D174" s="27" t="s">
        <v>44</v>
      </c>
      <c r="E174" s="16">
        <v>50</v>
      </c>
      <c r="F174" s="16">
        <v>9.59</v>
      </c>
      <c r="G174" s="20">
        <f t="shared" si="22"/>
        <v>479.5</v>
      </c>
      <c r="H174" s="114">
        <f t="shared" si="20"/>
        <v>0</v>
      </c>
      <c r="I174" s="115"/>
      <c r="J174" s="116">
        <f t="shared" si="21"/>
        <v>0</v>
      </c>
      <c r="K174" s="160"/>
    </row>
    <row r="175" spans="1:11" s="4" customFormat="1" ht="15.75" x14ac:dyDescent="0.25">
      <c r="A175" s="12" t="s">
        <v>276</v>
      </c>
      <c r="B175" s="26" t="s">
        <v>277</v>
      </c>
      <c r="C175" s="11" t="s">
        <v>96</v>
      </c>
      <c r="D175" s="27" t="s">
        <v>99</v>
      </c>
      <c r="E175" s="16">
        <v>1</v>
      </c>
      <c r="F175" s="16">
        <f>421.5*1.25</f>
        <v>526.875</v>
      </c>
      <c r="G175" s="20">
        <f t="shared" si="22"/>
        <v>526.875</v>
      </c>
      <c r="H175" s="114">
        <f t="shared" si="20"/>
        <v>0</v>
      </c>
      <c r="I175" s="115"/>
      <c r="J175" s="116">
        <f t="shared" si="21"/>
        <v>0</v>
      </c>
      <c r="K175" s="160"/>
    </row>
    <row r="176" spans="1:11" s="4" customFormat="1" ht="15.75" x14ac:dyDescent="0.25">
      <c r="A176" s="12" t="s">
        <v>278</v>
      </c>
      <c r="B176" s="26" t="s">
        <v>279</v>
      </c>
      <c r="C176" s="11" t="s">
        <v>96</v>
      </c>
      <c r="D176" s="27" t="s">
        <v>99</v>
      </c>
      <c r="E176" s="16">
        <v>5</v>
      </c>
      <c r="F176" s="16">
        <f>390*1.25</f>
        <v>487.5</v>
      </c>
      <c r="G176" s="20">
        <f t="shared" si="22"/>
        <v>2437.5</v>
      </c>
      <c r="H176" s="114">
        <f t="shared" si="20"/>
        <v>0</v>
      </c>
      <c r="I176" s="115"/>
      <c r="J176" s="116">
        <f t="shared" si="21"/>
        <v>0</v>
      </c>
      <c r="K176" s="160"/>
    </row>
    <row r="177" spans="1:11" s="4" customFormat="1" ht="15.75" x14ac:dyDescent="0.25">
      <c r="A177" s="12" t="s">
        <v>280</v>
      </c>
      <c r="B177" s="26" t="s">
        <v>281</v>
      </c>
      <c r="C177" s="11" t="s">
        <v>96</v>
      </c>
      <c r="D177" s="27" t="s">
        <v>99</v>
      </c>
      <c r="E177" s="16">
        <v>5</v>
      </c>
      <c r="F177" s="16">
        <f>345*1.25</f>
        <v>431.25</v>
      </c>
      <c r="G177" s="20">
        <f t="shared" si="22"/>
        <v>2156.25</v>
      </c>
      <c r="H177" s="114">
        <f t="shared" si="20"/>
        <v>0</v>
      </c>
      <c r="I177" s="115"/>
      <c r="J177" s="116">
        <f t="shared" si="21"/>
        <v>0</v>
      </c>
      <c r="K177" s="160"/>
    </row>
    <row r="178" spans="1:11" s="4" customFormat="1" ht="15.75" x14ac:dyDescent="0.25">
      <c r="A178" s="12" t="s">
        <v>283</v>
      </c>
      <c r="B178" s="26" t="s">
        <v>284</v>
      </c>
      <c r="C178" s="11" t="s">
        <v>282</v>
      </c>
      <c r="D178" s="27" t="s">
        <v>99</v>
      </c>
      <c r="E178" s="16">
        <v>120</v>
      </c>
      <c r="F178" s="16">
        <v>1.1000000000000001</v>
      </c>
      <c r="G178" s="20">
        <f t="shared" si="22"/>
        <v>132</v>
      </c>
      <c r="H178" s="114">
        <f t="shared" si="20"/>
        <v>0</v>
      </c>
      <c r="I178" s="115"/>
      <c r="J178" s="116">
        <f t="shared" si="21"/>
        <v>0</v>
      </c>
      <c r="K178" s="160"/>
    </row>
    <row r="179" spans="1:11" s="4" customFormat="1" ht="15.75" x14ac:dyDescent="0.25">
      <c r="A179" s="12" t="s">
        <v>286</v>
      </c>
      <c r="B179" s="26" t="s">
        <v>287</v>
      </c>
      <c r="C179" s="11" t="s">
        <v>285</v>
      </c>
      <c r="D179" s="27" t="s">
        <v>99</v>
      </c>
      <c r="E179" s="16">
        <v>5</v>
      </c>
      <c r="F179" s="16">
        <v>182.09</v>
      </c>
      <c r="G179" s="20">
        <f t="shared" si="22"/>
        <v>910.45</v>
      </c>
      <c r="H179" s="114">
        <f t="shared" si="20"/>
        <v>0</v>
      </c>
      <c r="I179" s="115"/>
      <c r="J179" s="116">
        <f t="shared" ref="J179:J185" si="23">E179*I179</f>
        <v>0</v>
      </c>
      <c r="K179" s="160"/>
    </row>
    <row r="180" spans="1:11" s="4" customFormat="1" ht="15.75" x14ac:dyDescent="0.25">
      <c r="A180" s="12" t="s">
        <v>288</v>
      </c>
      <c r="B180" s="26" t="s">
        <v>289</v>
      </c>
      <c r="C180" s="11" t="s">
        <v>96</v>
      </c>
      <c r="D180" s="27" t="s">
        <v>99</v>
      </c>
      <c r="E180" s="16">
        <v>5</v>
      </c>
      <c r="F180" s="16">
        <f>18*1.25</f>
        <v>22.5</v>
      </c>
      <c r="G180" s="20">
        <f t="shared" si="22"/>
        <v>112.5</v>
      </c>
      <c r="H180" s="114">
        <f t="shared" si="20"/>
        <v>0</v>
      </c>
      <c r="I180" s="115"/>
      <c r="J180" s="116">
        <f t="shared" si="23"/>
        <v>0</v>
      </c>
      <c r="K180" s="160"/>
    </row>
    <row r="181" spans="1:11" s="4" customFormat="1" ht="15.75" x14ac:dyDescent="0.25">
      <c r="A181" s="12" t="s">
        <v>290</v>
      </c>
      <c r="B181" s="26" t="s">
        <v>291</v>
      </c>
      <c r="C181" s="11" t="s">
        <v>96</v>
      </c>
      <c r="D181" s="27" t="s">
        <v>99</v>
      </c>
      <c r="E181" s="16">
        <v>10</v>
      </c>
      <c r="F181" s="16">
        <f>27*1.25</f>
        <v>33.75</v>
      </c>
      <c r="G181" s="20">
        <f t="shared" si="22"/>
        <v>337.5</v>
      </c>
      <c r="H181" s="114">
        <f t="shared" si="20"/>
        <v>0</v>
      </c>
      <c r="I181" s="115"/>
      <c r="J181" s="116">
        <f t="shared" si="23"/>
        <v>0</v>
      </c>
      <c r="K181" s="160"/>
    </row>
    <row r="182" spans="1:11" s="4" customFormat="1" ht="24" x14ac:dyDescent="0.25">
      <c r="A182" s="12" t="s">
        <v>293</v>
      </c>
      <c r="B182" s="26" t="s">
        <v>294</v>
      </c>
      <c r="C182" s="11" t="s">
        <v>292</v>
      </c>
      <c r="D182" s="27" t="s">
        <v>99</v>
      </c>
      <c r="E182" s="16">
        <v>1</v>
      </c>
      <c r="F182" s="16">
        <v>151.69999999999999</v>
      </c>
      <c r="G182" s="20">
        <v>173.04</v>
      </c>
      <c r="H182" s="114">
        <f t="shared" si="20"/>
        <v>0</v>
      </c>
      <c r="I182" s="115"/>
      <c r="J182" s="116">
        <f t="shared" si="23"/>
        <v>0</v>
      </c>
      <c r="K182" s="160"/>
    </row>
    <row r="183" spans="1:11" s="4" customFormat="1" ht="24" x14ac:dyDescent="0.25">
      <c r="A183" s="12" t="s">
        <v>296</v>
      </c>
      <c r="B183" s="26" t="s">
        <v>297</v>
      </c>
      <c r="C183" s="11" t="s">
        <v>295</v>
      </c>
      <c r="D183" s="27" t="s">
        <v>99</v>
      </c>
      <c r="E183" s="16">
        <v>5</v>
      </c>
      <c r="F183" s="16">
        <v>17.079999999999998</v>
      </c>
      <c r="G183" s="20">
        <f t="shared" si="22"/>
        <v>85.399999999999991</v>
      </c>
      <c r="H183" s="114">
        <f t="shared" si="20"/>
        <v>0</v>
      </c>
      <c r="I183" s="115"/>
      <c r="J183" s="116">
        <f t="shared" si="23"/>
        <v>0</v>
      </c>
      <c r="K183" s="160"/>
    </row>
    <row r="184" spans="1:11" s="4" customFormat="1" ht="15.75" x14ac:dyDescent="0.25">
      <c r="A184" s="12" t="s">
        <v>299</v>
      </c>
      <c r="B184" s="26" t="s">
        <v>300</v>
      </c>
      <c r="C184" s="11" t="s">
        <v>298</v>
      </c>
      <c r="D184" s="27" t="s">
        <v>99</v>
      </c>
      <c r="E184" s="16">
        <v>60</v>
      </c>
      <c r="F184" s="16">
        <v>10.41</v>
      </c>
      <c r="G184" s="20">
        <f t="shared" si="22"/>
        <v>624.6</v>
      </c>
      <c r="H184" s="114">
        <f t="shared" si="20"/>
        <v>0</v>
      </c>
      <c r="I184" s="115"/>
      <c r="J184" s="116">
        <f t="shared" si="23"/>
        <v>0</v>
      </c>
      <c r="K184" s="160"/>
    </row>
    <row r="185" spans="1:11" s="6" customFormat="1" ht="15.75" x14ac:dyDescent="0.25">
      <c r="A185" s="22" t="s">
        <v>301</v>
      </c>
      <c r="B185" s="25" t="s">
        <v>302</v>
      </c>
      <c r="C185" s="21" t="s">
        <v>96</v>
      </c>
      <c r="D185" s="22" t="s">
        <v>99</v>
      </c>
      <c r="E185" s="15">
        <v>150</v>
      </c>
      <c r="F185" s="15">
        <v>2.95</v>
      </c>
      <c r="G185" s="20">
        <f t="shared" si="22"/>
        <v>442.5</v>
      </c>
      <c r="H185" s="114">
        <f t="shared" si="20"/>
        <v>0</v>
      </c>
      <c r="I185" s="115"/>
      <c r="J185" s="116">
        <f t="shared" si="23"/>
        <v>0</v>
      </c>
      <c r="K185" s="160"/>
    </row>
    <row r="186" spans="1:11" s="122" customFormat="1" x14ac:dyDescent="0.25">
      <c r="A186" s="155"/>
      <c r="B186" s="155"/>
      <c r="C186" s="155"/>
      <c r="D186" s="155"/>
      <c r="E186" s="155"/>
      <c r="F186" s="155"/>
      <c r="G186" s="155"/>
    </row>
    <row r="187" spans="1:11" s="4" customFormat="1" ht="16.5" x14ac:dyDescent="0.25">
      <c r="A187" s="38" t="s">
        <v>450</v>
      </c>
      <c r="B187" s="154" t="s">
        <v>304</v>
      </c>
      <c r="C187" s="154"/>
      <c r="D187" s="154"/>
      <c r="E187" s="154"/>
      <c r="F187" s="154"/>
      <c r="G187" s="39">
        <f>SUM(G188)</f>
        <v>5614.3680000000004</v>
      </c>
      <c r="H187" s="110"/>
      <c r="I187" s="111"/>
      <c r="J187" s="112"/>
      <c r="K187" s="113">
        <f>SUM(J188:J194)</f>
        <v>0</v>
      </c>
    </row>
    <row r="188" spans="1:11" s="4" customFormat="1" ht="15.75" x14ac:dyDescent="0.25">
      <c r="A188" s="12" t="s">
        <v>303</v>
      </c>
      <c r="B188" s="17" t="s">
        <v>306</v>
      </c>
      <c r="C188" s="11" t="s">
        <v>305</v>
      </c>
      <c r="D188" s="14" t="s">
        <v>5</v>
      </c>
      <c r="E188" s="15">
        <v>447.36</v>
      </c>
      <c r="F188" s="16">
        <f>11.47+1.08</f>
        <v>12.55</v>
      </c>
      <c r="G188" s="20">
        <f>E188*F188</f>
        <v>5614.3680000000004</v>
      </c>
      <c r="H188" s="114">
        <f>IF(I188="",0,(I188/F188-1))</f>
        <v>0</v>
      </c>
      <c r="I188" s="115"/>
      <c r="J188" s="116">
        <f>E188*I188</f>
        <v>0</v>
      </c>
      <c r="K188" s="123"/>
    </row>
    <row r="189" spans="1:11" s="121" customFormat="1" x14ac:dyDescent="0.25">
      <c r="A189" s="155"/>
      <c r="B189" s="155"/>
      <c r="C189" s="155"/>
      <c r="D189" s="155"/>
      <c r="E189" s="155"/>
      <c r="F189" s="155"/>
      <c r="G189" s="155"/>
    </row>
    <row r="190" spans="1:11" s="4" customFormat="1" ht="16.5" x14ac:dyDescent="0.25">
      <c r="A190" s="38" t="s">
        <v>451</v>
      </c>
      <c r="B190" s="154" t="s">
        <v>425</v>
      </c>
      <c r="C190" s="154"/>
      <c r="D190" s="154"/>
      <c r="E190" s="154"/>
      <c r="F190" s="154"/>
      <c r="G190" s="39">
        <f>SUM(G191:G194)</f>
        <v>103939.2</v>
      </c>
      <c r="H190" s="110"/>
      <c r="I190" s="111"/>
      <c r="J190" s="112"/>
      <c r="K190" s="113">
        <f>SUM(J191:J197)</f>
        <v>0</v>
      </c>
    </row>
    <row r="191" spans="1:11" s="4" customFormat="1" ht="12.75" customHeight="1" x14ac:dyDescent="0.25">
      <c r="A191" s="12" t="s">
        <v>426</v>
      </c>
      <c r="B191" s="30" t="s">
        <v>435</v>
      </c>
      <c r="C191" s="29" t="s">
        <v>427</v>
      </c>
      <c r="D191" s="31" t="s">
        <v>428</v>
      </c>
      <c r="E191" s="15">
        <v>8</v>
      </c>
      <c r="F191" s="32">
        <f>3*5*4*59.58</f>
        <v>3574.7999999999997</v>
      </c>
      <c r="G191" s="20">
        <f>E191*F191</f>
        <v>28598.399999999998</v>
      </c>
      <c r="H191" s="114">
        <f>IF(I191="",0,(I191/F191-1))</f>
        <v>0</v>
      </c>
      <c r="I191" s="115"/>
      <c r="J191" s="116">
        <f>E191*I191</f>
        <v>0</v>
      </c>
      <c r="K191" s="160"/>
    </row>
    <row r="192" spans="1:11" s="4" customFormat="1" ht="15.75" x14ac:dyDescent="0.25">
      <c r="A192" s="12" t="s">
        <v>432</v>
      </c>
      <c r="B192" s="30" t="s">
        <v>436</v>
      </c>
      <c r="C192" s="29" t="s">
        <v>429</v>
      </c>
      <c r="D192" s="31" t="s">
        <v>428</v>
      </c>
      <c r="E192" s="15">
        <v>8</v>
      </c>
      <c r="F192" s="32">
        <f>8*5*4*29.3</f>
        <v>4688</v>
      </c>
      <c r="G192" s="20">
        <f>E192*F192</f>
        <v>37504</v>
      </c>
      <c r="H192" s="114">
        <f>IF(I192="",0,(I192/F192-1))</f>
        <v>0</v>
      </c>
      <c r="I192" s="115"/>
      <c r="J192" s="116">
        <f>E192*I192</f>
        <v>0</v>
      </c>
      <c r="K192" s="160"/>
    </row>
    <row r="193" spans="1:14" s="4" customFormat="1" ht="15.75" x14ac:dyDescent="0.25">
      <c r="A193" s="12" t="s">
        <v>433</v>
      </c>
      <c r="B193" s="30" t="s">
        <v>522</v>
      </c>
      <c r="C193" s="29" t="s">
        <v>430</v>
      </c>
      <c r="D193" s="31" t="s">
        <v>428</v>
      </c>
      <c r="E193" s="15">
        <v>8</v>
      </c>
      <c r="F193" s="32">
        <f>2*(8*5*4*9.13)</f>
        <v>2921.6000000000004</v>
      </c>
      <c r="G193" s="20">
        <f>E193*F193</f>
        <v>23372.800000000003</v>
      </c>
      <c r="H193" s="114">
        <f>IF(I193="",0,(I193/F193-1))</f>
        <v>0</v>
      </c>
      <c r="I193" s="115"/>
      <c r="J193" s="116">
        <f>E193*I193</f>
        <v>0</v>
      </c>
      <c r="K193" s="160"/>
    </row>
    <row r="194" spans="1:14" s="4" customFormat="1" ht="15.75" x14ac:dyDescent="0.25">
      <c r="A194" s="12" t="s">
        <v>434</v>
      </c>
      <c r="B194" s="30" t="s">
        <v>437</v>
      </c>
      <c r="C194" s="29" t="s">
        <v>431</v>
      </c>
      <c r="D194" s="31" t="s">
        <v>428</v>
      </c>
      <c r="E194" s="15">
        <v>8</v>
      </c>
      <c r="F194" s="32">
        <f>8*5*4*11.3</f>
        <v>1808</v>
      </c>
      <c r="G194" s="20">
        <f>E194*F194</f>
        <v>14464</v>
      </c>
      <c r="H194" s="114">
        <f>IF(I194="",0,(I194/F194-1))</f>
        <v>0</v>
      </c>
      <c r="I194" s="115"/>
      <c r="J194" s="116">
        <f>E194*I194</f>
        <v>0</v>
      </c>
      <c r="K194" s="160"/>
    </row>
    <row r="195" spans="1:14" x14ac:dyDescent="0.25">
      <c r="A195" s="162"/>
      <c r="B195" s="162"/>
      <c r="C195" s="162"/>
      <c r="D195" s="162"/>
      <c r="E195" s="162"/>
      <c r="F195" s="162"/>
      <c r="G195" s="162"/>
    </row>
    <row r="196" spans="1:14" ht="30" customHeight="1" x14ac:dyDescent="0.25">
      <c r="A196" s="161" t="s">
        <v>527</v>
      </c>
      <c r="B196" s="161"/>
      <c r="C196" s="161"/>
      <c r="D196" s="161" t="s">
        <v>486</v>
      </c>
      <c r="E196" s="161"/>
      <c r="F196" s="161"/>
      <c r="G196" s="107">
        <f>G8+G14+G18+G30+G38+G45+G48+G53+G62+G67+G73+G94+G156+G168+G187+G190</f>
        <v>730051.55814999994</v>
      </c>
      <c r="H196" s="44"/>
      <c r="I196" s="41"/>
      <c r="J196" s="41"/>
      <c r="K196" s="41"/>
      <c r="L196" s="41"/>
      <c r="M196" s="41"/>
      <c r="N196" s="41"/>
    </row>
    <row r="197" spans="1:14" ht="30" customHeight="1" x14ac:dyDescent="0.25">
      <c r="A197" s="161"/>
      <c r="B197" s="161"/>
      <c r="C197" s="161"/>
      <c r="D197" s="161" t="s">
        <v>525</v>
      </c>
      <c r="E197" s="161"/>
      <c r="F197" s="161"/>
      <c r="G197" s="107">
        <f>G196*0.239</f>
        <v>174482.32239784999</v>
      </c>
      <c r="H197" s="44"/>
      <c r="I197" s="41"/>
      <c r="J197" s="41"/>
      <c r="K197" s="41"/>
      <c r="L197" s="41"/>
      <c r="M197" s="41"/>
      <c r="N197" s="41"/>
    </row>
    <row r="198" spans="1:14" ht="30" customHeight="1" x14ac:dyDescent="0.25">
      <c r="A198" s="161"/>
      <c r="B198" s="161"/>
      <c r="C198" s="161"/>
      <c r="D198" s="161" t="s">
        <v>449</v>
      </c>
      <c r="E198" s="161"/>
      <c r="F198" s="161"/>
      <c r="G198" s="107">
        <f>SUM(G196:G197)</f>
        <v>904533.88054784993</v>
      </c>
      <c r="H198" s="44"/>
      <c r="I198" s="124"/>
      <c r="J198" s="41"/>
      <c r="K198" s="41"/>
      <c r="L198" s="41"/>
      <c r="M198" s="41"/>
      <c r="N198" s="41"/>
    </row>
    <row r="199" spans="1:14" x14ac:dyDescent="0.25">
      <c r="A199" s="46"/>
      <c r="B199" s="45"/>
      <c r="C199" s="51"/>
      <c r="D199" s="52"/>
      <c r="E199" s="47"/>
      <c r="F199" s="48"/>
      <c r="G199" s="49"/>
      <c r="H199" s="42"/>
      <c r="I199" s="41"/>
      <c r="J199" s="41"/>
      <c r="K199" s="41"/>
      <c r="L199" s="41"/>
      <c r="M199" s="41"/>
      <c r="N199" s="41"/>
    </row>
    <row r="200" spans="1:14" x14ac:dyDescent="0.25">
      <c r="A200" s="46"/>
      <c r="B200" s="50" t="s">
        <v>523</v>
      </c>
      <c r="C200" s="51"/>
      <c r="D200" s="52"/>
      <c r="E200" s="47"/>
      <c r="F200" s="48"/>
      <c r="G200" s="49"/>
      <c r="H200" s="43"/>
      <c r="I200" s="41"/>
      <c r="J200" s="41"/>
      <c r="K200" s="41"/>
      <c r="L200" s="41"/>
      <c r="M200" s="41"/>
      <c r="N200" s="41"/>
    </row>
    <row r="201" spans="1:14" x14ac:dyDescent="0.25">
      <c r="A201" s="33"/>
      <c r="B201" s="33"/>
      <c r="C201" s="33"/>
      <c r="D201" s="34"/>
      <c r="E201" s="33"/>
      <c r="F201" s="33"/>
      <c r="G201" s="33"/>
    </row>
    <row r="210" spans="2:6" x14ac:dyDescent="0.25">
      <c r="B210" s="156"/>
      <c r="C210" s="156"/>
      <c r="D210" s="156"/>
      <c r="E210" s="156"/>
      <c r="F210" s="156"/>
    </row>
  </sheetData>
  <mergeCells count="53">
    <mergeCell ref="K49:K51"/>
    <mergeCell ref="K39:K43"/>
    <mergeCell ref="K31:K36"/>
    <mergeCell ref="K15:K16"/>
    <mergeCell ref="K9:K12"/>
    <mergeCell ref="K68:K71"/>
    <mergeCell ref="K63:K65"/>
    <mergeCell ref="K54:K60"/>
    <mergeCell ref="A196:C198"/>
    <mergeCell ref="D196:F196"/>
    <mergeCell ref="D197:F197"/>
    <mergeCell ref="D198:F198"/>
    <mergeCell ref="A195:G195"/>
    <mergeCell ref="A189:G189"/>
    <mergeCell ref="B62:F62"/>
    <mergeCell ref="B190:F190"/>
    <mergeCell ref="K191:K194"/>
    <mergeCell ref="K169:K185"/>
    <mergeCell ref="K157:K166"/>
    <mergeCell ref="K95:K154"/>
    <mergeCell ref="K74:K92"/>
    <mergeCell ref="A44:G44"/>
    <mergeCell ref="A37:G37"/>
    <mergeCell ref="A29:G29"/>
    <mergeCell ref="B210:F210"/>
    <mergeCell ref="B4:F4"/>
    <mergeCell ref="A5:G5"/>
    <mergeCell ref="B38:F38"/>
    <mergeCell ref="B30:F30"/>
    <mergeCell ref="B18:F18"/>
    <mergeCell ref="A7:G7"/>
    <mergeCell ref="A186:G186"/>
    <mergeCell ref="A167:G167"/>
    <mergeCell ref="A155:G155"/>
    <mergeCell ref="A93:G93"/>
    <mergeCell ref="B73:F73"/>
    <mergeCell ref="B67:F67"/>
    <mergeCell ref="B14:F14"/>
    <mergeCell ref="B8:F8"/>
    <mergeCell ref="A17:G17"/>
    <mergeCell ref="A13:G13"/>
    <mergeCell ref="B187:F187"/>
    <mergeCell ref="B168:F168"/>
    <mergeCell ref="B156:F156"/>
    <mergeCell ref="B94:F94"/>
    <mergeCell ref="B53:F53"/>
    <mergeCell ref="B48:F48"/>
    <mergeCell ref="B45:F45"/>
    <mergeCell ref="A72:G72"/>
    <mergeCell ref="A66:G66"/>
    <mergeCell ref="A61:G61"/>
    <mergeCell ref="A52:G52"/>
    <mergeCell ref="A47:G47"/>
  </mergeCells>
  <printOptions horizontalCentered="1"/>
  <pageMargins left="0.19685039370078741" right="0.19685039370078741" top="0.19685039370078741" bottom="0.19685039370078741" header="0" footer="0"/>
  <pageSetup paperSize="9" scale="65" orientation="landscape" r:id="rId1"/>
  <rowBreaks count="1" manualBreakCount="1">
    <brk id="15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view="pageBreakPreview" topLeftCell="A41" zoomScale="85" zoomScaleNormal="55" zoomScaleSheetLayoutView="85" workbookViewId="0">
      <pane xSplit="4" topLeftCell="U1" activePane="topRight" state="frozen"/>
      <selection pane="topRight" activeCell="C67" sqref="C67"/>
    </sheetView>
  </sheetViews>
  <sheetFormatPr defaultRowHeight="15" x14ac:dyDescent="0.25"/>
  <cols>
    <col min="1" max="1" width="9.140625" style="62"/>
    <col min="2" max="2" width="48" style="62" bestFit="1" customWidth="1"/>
    <col min="3" max="3" width="9.28515625" bestFit="1" customWidth="1"/>
    <col min="4" max="4" width="17.28515625" bestFit="1" customWidth="1"/>
    <col min="5" max="5" width="8.7109375" bestFit="1" customWidth="1"/>
    <col min="6" max="6" width="14.140625" bestFit="1" customWidth="1"/>
    <col min="7" max="7" width="8.42578125" bestFit="1" customWidth="1"/>
    <col min="8" max="8" width="14.42578125" bestFit="1" customWidth="1"/>
    <col min="9" max="9" width="9" bestFit="1" customWidth="1"/>
    <col min="10" max="10" width="14.7109375" bestFit="1" customWidth="1"/>
    <col min="11" max="11" width="8.7109375" bestFit="1" customWidth="1"/>
    <col min="12" max="12" width="14.7109375" bestFit="1" customWidth="1"/>
    <col min="13" max="13" width="9" bestFit="1" customWidth="1"/>
    <col min="14" max="14" width="14.85546875" bestFit="1" customWidth="1"/>
    <col min="15" max="15" width="9" bestFit="1" customWidth="1"/>
    <col min="16" max="16" width="14.7109375" bestFit="1" customWidth="1"/>
    <col min="17" max="17" width="8.7109375" bestFit="1" customWidth="1"/>
    <col min="18" max="18" width="14.85546875" bestFit="1" customWidth="1"/>
    <col min="19" max="19" width="8.7109375" bestFit="1" customWidth="1"/>
    <col min="20" max="20" width="14.7109375" bestFit="1" customWidth="1"/>
    <col min="21" max="21" width="8.7109375" bestFit="1" customWidth="1"/>
    <col min="22" max="22" width="14.7109375" bestFit="1" customWidth="1"/>
    <col min="23" max="23" width="8.7109375" bestFit="1" customWidth="1"/>
    <col min="24" max="24" width="14.85546875" bestFit="1" customWidth="1"/>
    <col min="25" max="25" width="9" bestFit="1" customWidth="1"/>
    <col min="26" max="26" width="14.7109375" bestFit="1" customWidth="1"/>
    <col min="27" max="27" width="9.85546875" bestFit="1" customWidth="1"/>
    <col min="28" max="28" width="14.140625" bestFit="1" customWidth="1"/>
  </cols>
  <sheetData>
    <row r="1" spans="1:30" x14ac:dyDescent="0.25">
      <c r="A1" s="165" t="s">
        <v>440</v>
      </c>
      <c r="B1" s="165"/>
      <c r="C1" s="165"/>
      <c r="D1" s="165"/>
      <c r="E1" s="69"/>
      <c r="F1" s="69"/>
      <c r="G1" s="69"/>
      <c r="H1" s="69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</row>
    <row r="2" spans="1:30" x14ac:dyDescent="0.25">
      <c r="A2" s="165" t="s">
        <v>441</v>
      </c>
      <c r="B2" s="165"/>
      <c r="C2" s="165"/>
      <c r="D2" s="165"/>
      <c r="E2" s="69"/>
      <c r="F2" s="69"/>
      <c r="G2" s="71"/>
      <c r="H2" s="71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</row>
    <row r="3" spans="1:30" x14ac:dyDescent="0.25">
      <c r="A3" s="165" t="s">
        <v>442</v>
      </c>
      <c r="B3" s="165"/>
      <c r="C3" s="165"/>
      <c r="D3" s="165"/>
      <c r="E3" s="69"/>
      <c r="F3" s="69"/>
      <c r="G3" s="71"/>
      <c r="H3" s="71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</row>
    <row r="4" spans="1:30" s="68" customFormat="1" x14ac:dyDescent="0.25">
      <c r="A4" s="106"/>
      <c r="B4" s="106"/>
      <c r="C4" s="106"/>
      <c r="D4" s="106"/>
      <c r="E4" s="69"/>
      <c r="F4" s="69"/>
      <c r="G4" s="71"/>
      <c r="H4" s="71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</row>
    <row r="5" spans="1:30" x14ac:dyDescent="0.25">
      <c r="A5" s="170" t="str">
        <f>ORÇ.!A5</f>
        <v>OBRA: CONSTRUÇÃO DO INSTITUTO DE FÍSICA NO CAMPUS A. C. SIMÕES - UFAL</v>
      </c>
      <c r="B5" s="170"/>
      <c r="C5" s="170"/>
      <c r="D5" s="170"/>
      <c r="E5" s="170"/>
      <c r="F5" s="170"/>
      <c r="G5" s="170"/>
      <c r="H5" s="1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</row>
    <row r="6" spans="1:30" x14ac:dyDescent="0.25">
      <c r="A6" s="175" t="s">
        <v>466</v>
      </c>
      <c r="B6" s="176"/>
      <c r="C6" s="176"/>
      <c r="D6" s="177"/>
      <c r="E6" s="175" t="s">
        <v>474</v>
      </c>
      <c r="F6" s="177"/>
      <c r="G6" s="175" t="s">
        <v>473</v>
      </c>
      <c r="H6" s="177"/>
      <c r="I6" s="175" t="s">
        <v>475</v>
      </c>
      <c r="J6" s="177"/>
      <c r="K6" s="175" t="s">
        <v>476</v>
      </c>
      <c r="L6" s="177"/>
      <c r="M6" s="175" t="s">
        <v>477</v>
      </c>
      <c r="N6" s="177"/>
      <c r="O6" s="175" t="s">
        <v>478</v>
      </c>
      <c r="P6" s="177"/>
      <c r="Q6" s="175" t="s">
        <v>479</v>
      </c>
      <c r="R6" s="177"/>
      <c r="S6" s="175" t="s">
        <v>480</v>
      </c>
      <c r="T6" s="177"/>
      <c r="U6" s="175" t="s">
        <v>481</v>
      </c>
      <c r="V6" s="177"/>
      <c r="W6" s="175" t="s">
        <v>482</v>
      </c>
      <c r="X6" s="177"/>
      <c r="Y6" s="175" t="s">
        <v>483</v>
      </c>
      <c r="Z6" s="177"/>
      <c r="AA6" s="175" t="s">
        <v>484</v>
      </c>
      <c r="AB6" s="177"/>
    </row>
    <row r="7" spans="1:30" x14ac:dyDescent="0.25">
      <c r="A7" s="61" t="s">
        <v>0</v>
      </c>
      <c r="B7" s="67" t="s">
        <v>467</v>
      </c>
      <c r="C7" s="72" t="s">
        <v>416</v>
      </c>
      <c r="D7" s="73" t="s">
        <v>468</v>
      </c>
      <c r="E7" s="74" t="s">
        <v>469</v>
      </c>
      <c r="F7" s="74" t="s">
        <v>470</v>
      </c>
      <c r="G7" s="74" t="s">
        <v>469</v>
      </c>
      <c r="H7" s="74" t="s">
        <v>470</v>
      </c>
      <c r="I7" s="74" t="s">
        <v>469</v>
      </c>
      <c r="J7" s="74" t="s">
        <v>470</v>
      </c>
      <c r="K7" s="74" t="s">
        <v>469</v>
      </c>
      <c r="L7" s="74" t="s">
        <v>470</v>
      </c>
      <c r="M7" s="74" t="s">
        <v>469</v>
      </c>
      <c r="N7" s="74" t="s">
        <v>470</v>
      </c>
      <c r="O7" s="74" t="s">
        <v>469</v>
      </c>
      <c r="P7" s="74" t="s">
        <v>470</v>
      </c>
      <c r="Q7" s="74" t="s">
        <v>469</v>
      </c>
      <c r="R7" s="74" t="s">
        <v>470</v>
      </c>
      <c r="S7" s="74" t="s">
        <v>469</v>
      </c>
      <c r="T7" s="74" t="s">
        <v>470</v>
      </c>
      <c r="U7" s="74" t="s">
        <v>469</v>
      </c>
      <c r="V7" s="74" t="s">
        <v>470</v>
      </c>
      <c r="W7" s="74" t="s">
        <v>469</v>
      </c>
      <c r="X7" s="74" t="s">
        <v>470</v>
      </c>
      <c r="Y7" s="74" t="s">
        <v>469</v>
      </c>
      <c r="Z7" s="74" t="s">
        <v>470</v>
      </c>
      <c r="AA7" s="74" t="s">
        <v>469</v>
      </c>
      <c r="AB7" s="74" t="s">
        <v>470</v>
      </c>
    </row>
    <row r="8" spans="1:30" x14ac:dyDescent="0.25">
      <c r="A8" s="60"/>
      <c r="B8" s="66"/>
      <c r="C8" s="58"/>
      <c r="D8" s="58"/>
      <c r="E8" s="58"/>
      <c r="F8" s="58"/>
      <c r="G8" s="58"/>
      <c r="H8" s="58"/>
      <c r="I8" s="58"/>
      <c r="J8" s="57"/>
      <c r="K8" s="58"/>
      <c r="L8" s="57"/>
      <c r="M8" s="58"/>
      <c r="N8" s="58"/>
      <c r="O8" s="58"/>
      <c r="P8" s="58"/>
      <c r="Q8" s="58"/>
      <c r="R8" s="57"/>
      <c r="S8" s="58"/>
      <c r="T8" s="57"/>
      <c r="U8" s="58"/>
      <c r="V8" s="57"/>
      <c r="W8" s="58"/>
      <c r="X8" s="57"/>
      <c r="Y8" s="58"/>
      <c r="Z8" s="57"/>
      <c r="AA8" s="58"/>
      <c r="AB8" s="57"/>
    </row>
    <row r="9" spans="1:30" x14ac:dyDescent="0.25">
      <c r="A9" s="171" t="str">
        <f>ORÇ.!A8</f>
        <v>01.</v>
      </c>
      <c r="B9" s="171" t="str">
        <f>ORÇ.!B8</f>
        <v>SERVIÇOS PRELIMINARES E ADMINISTRATIVOS</v>
      </c>
      <c r="C9" s="168">
        <f>D9/$D$58</f>
        <v>8.2662561741427883E-3</v>
      </c>
      <c r="D9" s="173">
        <f>ORÇ.!G8</f>
        <v>6034.7932000000001</v>
      </c>
      <c r="E9" s="75"/>
      <c r="F9" s="75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D9" s="152">
        <f>E10+G10+I10+K10+M10+O10+Q10+S10+U10+W10+Y10+AA10</f>
        <v>1</v>
      </c>
    </row>
    <row r="10" spans="1:30" x14ac:dyDescent="0.25">
      <c r="A10" s="172"/>
      <c r="B10" s="172"/>
      <c r="C10" s="169"/>
      <c r="D10" s="174"/>
      <c r="E10" s="76">
        <v>1</v>
      </c>
      <c r="F10" s="77">
        <f>D9*E10</f>
        <v>6034.7932000000001</v>
      </c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</row>
    <row r="11" spans="1:30" x14ac:dyDescent="0.25">
      <c r="A11" s="60"/>
      <c r="B11" s="65"/>
      <c r="C11" s="78"/>
      <c r="D11" s="78"/>
      <c r="E11" s="78"/>
      <c r="F11" s="78"/>
      <c r="G11" s="78"/>
      <c r="H11" s="78"/>
      <c r="I11" s="78"/>
      <c r="J11" s="79"/>
      <c r="K11" s="78"/>
      <c r="L11" s="79"/>
      <c r="M11" s="78"/>
      <c r="N11" s="78"/>
      <c r="O11" s="78"/>
      <c r="P11" s="78"/>
      <c r="Q11" s="78"/>
      <c r="R11" s="78"/>
      <c r="S11" s="78"/>
      <c r="T11" s="79"/>
      <c r="U11" s="78"/>
      <c r="V11" s="78"/>
      <c r="W11" s="78"/>
      <c r="X11" s="78"/>
      <c r="Y11" s="78"/>
      <c r="Z11" s="78"/>
      <c r="AA11" s="78"/>
      <c r="AB11" s="79"/>
    </row>
    <row r="12" spans="1:30" x14ac:dyDescent="0.25">
      <c r="A12" s="166" t="str">
        <f>ORÇ.!A14</f>
        <v>02.</v>
      </c>
      <c r="B12" s="166" t="str">
        <f>ORÇ.!B14</f>
        <v>MOVIMENTO DE TERRA</v>
      </c>
      <c r="C12" s="168">
        <f>D12/$D$58</f>
        <v>1.4660867551769364E-2</v>
      </c>
      <c r="D12" s="173">
        <f>ORÇ.!G14</f>
        <v>10703.189199999999</v>
      </c>
      <c r="E12" s="75"/>
      <c r="F12" s="75"/>
      <c r="G12" s="80"/>
      <c r="H12" s="80"/>
      <c r="I12" s="76"/>
      <c r="J12" s="77"/>
      <c r="K12" s="76"/>
      <c r="L12" s="77"/>
      <c r="M12" s="77"/>
      <c r="N12" s="77"/>
      <c r="O12" s="80"/>
      <c r="P12" s="80"/>
      <c r="Q12" s="76"/>
      <c r="R12" s="77"/>
      <c r="S12" s="76"/>
      <c r="T12" s="77"/>
      <c r="U12" s="76"/>
      <c r="V12" s="77"/>
      <c r="W12" s="76"/>
      <c r="X12" s="77"/>
      <c r="Y12" s="76"/>
      <c r="Z12" s="77"/>
      <c r="AA12" s="76"/>
      <c r="AB12" s="77"/>
      <c r="AD12" s="152">
        <f t="shared" ref="AD12" si="0">E13+G13+I13+K13+M13+O13+Q13+S13+U13+W13+Y13+AA13</f>
        <v>1</v>
      </c>
    </row>
    <row r="13" spans="1:30" x14ac:dyDescent="0.25">
      <c r="A13" s="167"/>
      <c r="B13" s="167"/>
      <c r="C13" s="169"/>
      <c r="D13" s="174"/>
      <c r="E13" s="76">
        <v>1</v>
      </c>
      <c r="F13" s="77">
        <f>D12*E13</f>
        <v>10703.189199999999</v>
      </c>
      <c r="G13" s="76"/>
      <c r="H13" s="77"/>
      <c r="I13" s="77"/>
      <c r="J13" s="77"/>
      <c r="K13" s="77"/>
      <c r="L13" s="77"/>
      <c r="M13" s="76"/>
      <c r="N13" s="77"/>
      <c r="O13" s="76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D13" s="68"/>
    </row>
    <row r="14" spans="1:30" x14ac:dyDescent="0.25">
      <c r="A14" s="60"/>
      <c r="B14" s="64"/>
      <c r="C14" s="78"/>
      <c r="D14" s="78"/>
      <c r="E14" s="78"/>
      <c r="F14" s="78"/>
      <c r="G14" s="78"/>
      <c r="H14" s="78"/>
      <c r="I14" s="78"/>
      <c r="J14" s="79"/>
      <c r="K14" s="78"/>
      <c r="L14" s="79"/>
      <c r="M14" s="78"/>
      <c r="N14" s="78"/>
      <c r="O14" s="78"/>
      <c r="P14" s="78"/>
      <c r="Q14" s="78"/>
      <c r="R14" s="78"/>
      <c r="S14" s="78"/>
      <c r="T14" s="79"/>
      <c r="U14" s="78"/>
      <c r="V14" s="78"/>
      <c r="W14" s="78"/>
      <c r="X14" s="78"/>
      <c r="Y14" s="78"/>
      <c r="Z14" s="78"/>
      <c r="AA14" s="78"/>
      <c r="AB14" s="79"/>
      <c r="AD14" s="68"/>
    </row>
    <row r="15" spans="1:30" x14ac:dyDescent="0.25">
      <c r="A15" s="166" t="str">
        <f>ORÇ.!A18</f>
        <v>03.</v>
      </c>
      <c r="B15" s="166" t="str">
        <f>ORÇ.!B18</f>
        <v>INFRA-ESTRUTURA</v>
      </c>
      <c r="C15" s="168">
        <f>D15/$D$58</f>
        <v>0.26649117754506096</v>
      </c>
      <c r="D15" s="173">
        <f>ORÇ.!G18</f>
        <v>194552.29940000002</v>
      </c>
      <c r="E15" s="81"/>
      <c r="F15" s="81"/>
      <c r="G15" s="81"/>
      <c r="H15" s="81"/>
      <c r="I15" s="76"/>
      <c r="J15" s="77"/>
      <c r="K15" s="76"/>
      <c r="L15" s="77"/>
      <c r="M15" s="77"/>
      <c r="N15" s="77"/>
      <c r="O15" s="80"/>
      <c r="P15" s="82"/>
      <c r="Q15" s="76"/>
      <c r="R15" s="77"/>
      <c r="S15" s="76"/>
      <c r="T15" s="77"/>
      <c r="U15" s="76"/>
      <c r="V15" s="77"/>
      <c r="W15" s="76"/>
      <c r="X15" s="77"/>
      <c r="Y15" s="76"/>
      <c r="Z15" s="77"/>
      <c r="AA15" s="76"/>
      <c r="AB15" s="77"/>
      <c r="AD15" s="152">
        <f t="shared" ref="AD15" si="1">E16+G16+I16+K16+M16+O16+Q16+S16+U16+W16+Y16+AA16</f>
        <v>1</v>
      </c>
    </row>
    <row r="16" spans="1:30" x14ac:dyDescent="0.25">
      <c r="A16" s="167"/>
      <c r="B16" s="167"/>
      <c r="C16" s="169"/>
      <c r="D16" s="174"/>
      <c r="E16" s="76">
        <v>0.7</v>
      </c>
      <c r="F16" s="77">
        <f>D15*E16</f>
        <v>136186.60958000002</v>
      </c>
      <c r="G16" s="76">
        <v>0.30000000000000004</v>
      </c>
      <c r="H16" s="77">
        <f>D15*G16</f>
        <v>58365.689820000014</v>
      </c>
      <c r="I16" s="83"/>
      <c r="J16" s="77"/>
      <c r="K16" s="83"/>
      <c r="L16" s="77"/>
      <c r="M16" s="77"/>
      <c r="N16" s="77"/>
      <c r="O16" s="76"/>
      <c r="P16" s="77"/>
      <c r="Q16" s="83"/>
      <c r="R16" s="77"/>
      <c r="S16" s="83"/>
      <c r="T16" s="77"/>
      <c r="U16" s="83"/>
      <c r="V16" s="77"/>
      <c r="W16" s="83"/>
      <c r="X16" s="77"/>
      <c r="Y16" s="83"/>
      <c r="Z16" s="77"/>
      <c r="AA16" s="83"/>
      <c r="AB16" s="77"/>
      <c r="AD16" s="68"/>
    </row>
    <row r="17" spans="1:30" x14ac:dyDescent="0.25">
      <c r="A17" s="60"/>
      <c r="B17" s="64"/>
      <c r="C17" s="78"/>
      <c r="D17" s="78"/>
      <c r="E17" s="78"/>
      <c r="F17" s="78"/>
      <c r="G17" s="78"/>
      <c r="H17" s="78"/>
      <c r="I17" s="78"/>
      <c r="J17" s="79"/>
      <c r="K17" s="78"/>
      <c r="L17" s="79"/>
      <c r="M17" s="78"/>
      <c r="N17" s="78"/>
      <c r="O17" s="78"/>
      <c r="P17" s="78"/>
      <c r="Q17" s="78"/>
      <c r="R17" s="78"/>
      <c r="S17" s="78"/>
      <c r="T17" s="79"/>
      <c r="U17" s="78"/>
      <c r="V17" s="78"/>
      <c r="W17" s="78"/>
      <c r="X17" s="78"/>
      <c r="Y17" s="78"/>
      <c r="Z17" s="78"/>
      <c r="AA17" s="78"/>
      <c r="AB17" s="79"/>
      <c r="AD17" s="68"/>
    </row>
    <row r="18" spans="1:30" x14ac:dyDescent="0.25">
      <c r="A18" s="166" t="str">
        <f>ORÇ.!A30</f>
        <v>04.</v>
      </c>
      <c r="B18" s="166" t="str">
        <f>ORÇ.!B30</f>
        <v>SUPER-ESTRUTURA</v>
      </c>
      <c r="C18" s="168">
        <f>D18/$D$58</f>
        <v>0.15853397093389934</v>
      </c>
      <c r="D18" s="173">
        <f>ORÇ.!G30</f>
        <v>115737.97250000002</v>
      </c>
      <c r="E18" s="76"/>
      <c r="F18" s="76"/>
      <c r="G18" s="81"/>
      <c r="H18" s="81"/>
      <c r="I18" s="81"/>
      <c r="J18" s="81"/>
      <c r="K18" s="81"/>
      <c r="L18" s="81"/>
      <c r="M18" s="101"/>
      <c r="N18" s="101"/>
      <c r="O18" s="76"/>
      <c r="P18" s="77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D18" s="152">
        <f t="shared" ref="AD18" si="2">E19+G19+I19+K19+M19+O19+Q19+S19+U19+W19+Y19+AA19</f>
        <v>1</v>
      </c>
    </row>
    <row r="19" spans="1:30" x14ac:dyDescent="0.25">
      <c r="A19" s="167"/>
      <c r="B19" s="167"/>
      <c r="C19" s="169"/>
      <c r="D19" s="174"/>
      <c r="E19" s="76"/>
      <c r="F19" s="77"/>
      <c r="G19" s="76">
        <v>0.28999999999999998</v>
      </c>
      <c r="H19" s="77">
        <f>D18*G19</f>
        <v>33564.012025000004</v>
      </c>
      <c r="I19" s="80">
        <v>0.32</v>
      </c>
      <c r="J19" s="77">
        <f>D18*I19</f>
        <v>37036.151200000008</v>
      </c>
      <c r="K19" s="80">
        <v>0.25</v>
      </c>
      <c r="L19" s="77">
        <f>D18*K19</f>
        <v>28934.493125000005</v>
      </c>
      <c r="M19" s="83">
        <v>0.14000000000000001</v>
      </c>
      <c r="N19" s="77">
        <f>D18*M19</f>
        <v>16203.316150000004</v>
      </c>
      <c r="O19" s="76"/>
      <c r="P19" s="77"/>
      <c r="Q19" s="80"/>
      <c r="R19" s="82"/>
      <c r="S19" s="80"/>
      <c r="T19" s="82"/>
      <c r="U19" s="80"/>
      <c r="V19" s="82"/>
      <c r="W19" s="80"/>
      <c r="X19" s="82"/>
      <c r="Y19" s="80"/>
      <c r="Z19" s="82"/>
      <c r="AA19" s="80"/>
      <c r="AB19" s="82"/>
      <c r="AD19" s="68"/>
    </row>
    <row r="20" spans="1:30" x14ac:dyDescent="0.25">
      <c r="A20" s="60"/>
      <c r="B20" s="64"/>
      <c r="C20" s="78"/>
      <c r="D20" s="78"/>
      <c r="E20" s="78"/>
      <c r="F20" s="78"/>
      <c r="G20" s="78"/>
      <c r="H20" s="78"/>
      <c r="I20" s="84"/>
      <c r="J20" s="85"/>
      <c r="K20" s="84"/>
      <c r="L20" s="85"/>
      <c r="M20" s="78"/>
      <c r="N20" s="78"/>
      <c r="O20" s="78"/>
      <c r="P20" s="78"/>
      <c r="Q20" s="84"/>
      <c r="R20" s="78"/>
      <c r="S20" s="78"/>
      <c r="T20" s="79"/>
      <c r="U20" s="78"/>
      <c r="V20" s="78"/>
      <c r="W20" s="78"/>
      <c r="X20" s="78"/>
      <c r="Y20" s="78"/>
      <c r="Z20" s="78"/>
      <c r="AA20" s="78"/>
      <c r="AB20" s="79"/>
      <c r="AD20" s="68"/>
    </row>
    <row r="21" spans="1:30" x14ac:dyDescent="0.25">
      <c r="A21" s="166" t="str">
        <f>ORÇ.!A38</f>
        <v>05.</v>
      </c>
      <c r="B21" s="166" t="str">
        <f>ORÇ.!B38</f>
        <v>PAVIMENTAÇÃO</v>
      </c>
      <c r="C21" s="168">
        <f>D21/$D$58</f>
        <v>4.1994458689588648E-2</v>
      </c>
      <c r="D21" s="173">
        <f>ORÇ.!G38</f>
        <v>30658.12</v>
      </c>
      <c r="E21" s="76"/>
      <c r="F21" s="76"/>
      <c r="G21" s="76"/>
      <c r="H21" s="76"/>
      <c r="I21" s="76"/>
      <c r="J21" s="76"/>
      <c r="K21" s="101"/>
      <c r="L21" s="101"/>
      <c r="M21" s="101"/>
      <c r="N21" s="101"/>
      <c r="O21" s="101"/>
      <c r="P21" s="101"/>
      <c r="Q21" s="101"/>
      <c r="R21" s="101"/>
      <c r="S21" s="82"/>
      <c r="T21" s="82"/>
      <c r="U21" s="82"/>
      <c r="V21" s="82"/>
      <c r="W21" s="82"/>
      <c r="X21" s="82"/>
      <c r="Y21" s="82"/>
      <c r="Z21" s="82"/>
      <c r="AA21" s="82"/>
      <c r="AB21" s="82"/>
      <c r="AD21" s="152">
        <f t="shared" ref="AD21" si="3">E22+G22+I22+K22+M22+O22+Q22+S22+U22+W22+Y22+AA22</f>
        <v>0.99999999999999989</v>
      </c>
    </row>
    <row r="22" spans="1:30" x14ac:dyDescent="0.25">
      <c r="A22" s="167"/>
      <c r="B22" s="167"/>
      <c r="C22" s="169"/>
      <c r="D22" s="174"/>
      <c r="E22" s="76"/>
      <c r="F22" s="77"/>
      <c r="G22" s="76"/>
      <c r="H22" s="77"/>
      <c r="I22" s="80"/>
      <c r="J22" s="77"/>
      <c r="K22" s="80">
        <v>0.15</v>
      </c>
      <c r="L22" s="77">
        <f>D21*K22</f>
        <v>4598.7179999999998</v>
      </c>
      <c r="M22" s="76">
        <v>0.3</v>
      </c>
      <c r="N22" s="77">
        <f>D21*M22</f>
        <v>9197.4359999999997</v>
      </c>
      <c r="O22" s="76">
        <v>0.42</v>
      </c>
      <c r="P22" s="77">
        <f>D21*O22</f>
        <v>12876.410399999999</v>
      </c>
      <c r="Q22" s="80">
        <v>0.13</v>
      </c>
      <c r="R22" s="77">
        <f>D21*Q22</f>
        <v>3985.5556000000001</v>
      </c>
      <c r="S22" s="80"/>
      <c r="T22" s="77"/>
      <c r="U22" s="80"/>
      <c r="V22" s="82"/>
      <c r="W22" s="80"/>
      <c r="X22" s="82"/>
      <c r="Y22" s="80"/>
      <c r="Z22" s="82"/>
      <c r="AA22" s="80"/>
      <c r="AB22" s="82"/>
      <c r="AD22" s="68"/>
    </row>
    <row r="23" spans="1:30" x14ac:dyDescent="0.25">
      <c r="A23" s="60"/>
      <c r="B23" s="64"/>
      <c r="C23" s="78"/>
      <c r="D23" s="78"/>
      <c r="E23" s="78"/>
      <c r="F23" s="78"/>
      <c r="G23" s="76"/>
      <c r="H23" s="76"/>
      <c r="I23" s="76"/>
      <c r="J23" s="76"/>
      <c r="K23" s="84"/>
      <c r="L23" s="85"/>
      <c r="M23" s="78"/>
      <c r="N23" s="78"/>
      <c r="O23" s="78"/>
      <c r="P23" s="78"/>
      <c r="Q23" s="84"/>
      <c r="R23" s="78"/>
      <c r="S23" s="78"/>
      <c r="T23" s="79"/>
      <c r="U23" s="78"/>
      <c r="V23" s="78"/>
      <c r="W23" s="78"/>
      <c r="X23" s="78"/>
      <c r="Y23" s="78"/>
      <c r="Z23" s="78"/>
      <c r="AA23" s="78"/>
      <c r="AB23" s="79"/>
      <c r="AD23" s="68"/>
    </row>
    <row r="24" spans="1:30" x14ac:dyDescent="0.25">
      <c r="A24" s="166" t="str">
        <f>ORÇ.!A45</f>
        <v>06.</v>
      </c>
      <c r="B24" s="166" t="str">
        <f>ORÇ.!B45</f>
        <v>PAREDES E PAINÉIS</v>
      </c>
      <c r="C24" s="168">
        <f>D24/$D$58</f>
        <v>3.4470853077515622E-2</v>
      </c>
      <c r="D24" s="173">
        <f>ORÇ.!G45</f>
        <v>25165.5</v>
      </c>
      <c r="E24" s="76"/>
      <c r="F24" s="76"/>
      <c r="G24" s="76"/>
      <c r="H24" s="76"/>
      <c r="I24" s="76"/>
      <c r="J24" s="76"/>
      <c r="K24" s="82"/>
      <c r="L24" s="82"/>
      <c r="M24" s="82"/>
      <c r="N24" s="82"/>
      <c r="O24" s="82"/>
      <c r="P24" s="82"/>
      <c r="Q24" s="101"/>
      <c r="R24" s="101"/>
      <c r="S24" s="101"/>
      <c r="T24" s="101"/>
      <c r="U24" s="101"/>
      <c r="V24" s="101"/>
      <c r="W24" s="82"/>
      <c r="X24" s="82"/>
      <c r="Y24" s="82"/>
      <c r="Z24" s="82"/>
      <c r="AA24" s="82"/>
      <c r="AB24" s="82"/>
      <c r="AD24" s="152">
        <f t="shared" ref="AD24" si="4">E25+G25+I25+K25+M25+O25+Q25+S25+U25+W25+Y25+AA25</f>
        <v>1</v>
      </c>
    </row>
    <row r="25" spans="1:30" x14ac:dyDescent="0.25">
      <c r="A25" s="167"/>
      <c r="B25" s="167"/>
      <c r="C25" s="169"/>
      <c r="D25" s="174"/>
      <c r="E25" s="76"/>
      <c r="F25" s="77"/>
      <c r="G25" s="76"/>
      <c r="H25" s="77"/>
      <c r="I25" s="80"/>
      <c r="J25" s="77"/>
      <c r="K25" s="80"/>
      <c r="L25" s="82"/>
      <c r="M25" s="76"/>
      <c r="N25" s="77"/>
      <c r="O25" s="76"/>
      <c r="P25" s="77"/>
      <c r="Q25" s="80">
        <v>0.3</v>
      </c>
      <c r="R25" s="77">
        <f>$D$24*Q25</f>
        <v>7549.65</v>
      </c>
      <c r="S25" s="80">
        <v>0.4</v>
      </c>
      <c r="T25" s="77">
        <f>$D$24*S25</f>
        <v>10066.200000000001</v>
      </c>
      <c r="U25" s="80">
        <v>0.30000000000000004</v>
      </c>
      <c r="V25" s="77">
        <f>$D$24*U25</f>
        <v>7549.6500000000015</v>
      </c>
      <c r="W25" s="80"/>
      <c r="X25" s="82"/>
      <c r="Y25" s="80"/>
      <c r="Z25" s="82"/>
      <c r="AA25" s="80"/>
      <c r="AB25" s="82"/>
      <c r="AD25" s="68"/>
    </row>
    <row r="26" spans="1:30" x14ac:dyDescent="0.25">
      <c r="A26" s="60"/>
      <c r="B26" s="64"/>
      <c r="C26" s="78"/>
      <c r="D26" s="78"/>
      <c r="E26" s="78"/>
      <c r="F26" s="78"/>
      <c r="G26" s="78"/>
      <c r="H26" s="78"/>
      <c r="I26" s="84"/>
      <c r="J26" s="85"/>
      <c r="K26" s="84"/>
      <c r="L26" s="85"/>
      <c r="M26" s="78"/>
      <c r="N26" s="78"/>
      <c r="O26" s="78"/>
      <c r="P26" s="78"/>
      <c r="Q26" s="84"/>
      <c r="R26" s="78"/>
      <c r="S26" s="78"/>
      <c r="T26" s="79"/>
      <c r="U26" s="78"/>
      <c r="V26" s="78"/>
      <c r="W26" s="78"/>
      <c r="X26" s="78"/>
      <c r="Y26" s="78"/>
      <c r="Z26" s="78"/>
      <c r="AA26" s="78"/>
      <c r="AB26" s="79"/>
      <c r="AD26" s="68"/>
    </row>
    <row r="27" spans="1:30" x14ac:dyDescent="0.25">
      <c r="A27" s="166" t="str">
        <f>ORÇ.!A48</f>
        <v>07.</v>
      </c>
      <c r="B27" s="166" t="str">
        <f>ORÇ.!B48</f>
        <v>REVESTIMENTO</v>
      </c>
      <c r="C27" s="168">
        <f>D27/$D$58</f>
        <v>5.508872565372526E-2</v>
      </c>
      <c r="D27" s="173">
        <f>ORÇ.!G48</f>
        <v>40217.61</v>
      </c>
      <c r="E27" s="80"/>
      <c r="F27" s="80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101"/>
      <c r="V27" s="101"/>
      <c r="W27" s="81"/>
      <c r="X27" s="81"/>
      <c r="Y27" s="101"/>
      <c r="Z27" s="101"/>
      <c r="AA27" s="82"/>
      <c r="AB27" s="82"/>
      <c r="AD27" s="152">
        <f t="shared" ref="AD27" si="5">E28+G28+I28+K28+M28+O28+Q28+S28+U28+W28+Y28+AA28</f>
        <v>1</v>
      </c>
    </row>
    <row r="28" spans="1:30" x14ac:dyDescent="0.25">
      <c r="A28" s="167"/>
      <c r="B28" s="167"/>
      <c r="C28" s="169"/>
      <c r="D28" s="178"/>
      <c r="E28" s="76"/>
      <c r="F28" s="77"/>
      <c r="G28" s="76"/>
      <c r="H28" s="77"/>
      <c r="I28" s="80"/>
      <c r="J28" s="77"/>
      <c r="K28" s="80"/>
      <c r="L28" s="82"/>
      <c r="M28" s="76"/>
      <c r="N28" s="82"/>
      <c r="O28" s="76"/>
      <c r="P28" s="82"/>
      <c r="Q28" s="80"/>
      <c r="R28" s="82"/>
      <c r="S28" s="80"/>
      <c r="T28" s="82"/>
      <c r="U28" s="80">
        <v>0.5</v>
      </c>
      <c r="V28" s="77">
        <f>$D$27*U28</f>
        <v>20108.805</v>
      </c>
      <c r="W28" s="80">
        <v>0.43</v>
      </c>
      <c r="X28" s="77">
        <f>$D$27*W28</f>
        <v>17293.5723</v>
      </c>
      <c r="Y28" s="80">
        <v>7.0000000000000007E-2</v>
      </c>
      <c r="Z28" s="77">
        <f>$D$27*Y28</f>
        <v>2815.2327000000005</v>
      </c>
      <c r="AA28" s="80"/>
      <c r="AB28" s="82"/>
      <c r="AD28" s="68"/>
    </row>
    <row r="29" spans="1:30" x14ac:dyDescent="0.25">
      <c r="A29" s="60"/>
      <c r="B29" s="64"/>
      <c r="C29" s="78"/>
      <c r="D29" s="78"/>
      <c r="E29" s="78"/>
      <c r="F29" s="78"/>
      <c r="G29" s="78"/>
      <c r="H29" s="78"/>
      <c r="I29" s="84"/>
      <c r="J29" s="85"/>
      <c r="K29" s="84"/>
      <c r="L29" s="85"/>
      <c r="M29" s="78"/>
      <c r="N29" s="78"/>
      <c r="O29" s="78"/>
      <c r="P29" s="78"/>
      <c r="Q29" s="84"/>
      <c r="R29" s="78"/>
      <c r="S29" s="78"/>
      <c r="T29" s="79"/>
      <c r="U29" s="78"/>
      <c r="V29" s="78"/>
      <c r="W29" s="78"/>
      <c r="X29" s="78"/>
      <c r="Y29" s="78"/>
      <c r="Z29" s="78"/>
      <c r="AA29" s="78"/>
      <c r="AB29" s="79"/>
      <c r="AD29" s="68"/>
    </row>
    <row r="30" spans="1:30" x14ac:dyDescent="0.25">
      <c r="A30" s="166" t="str">
        <f>ORÇ.!A53</f>
        <v>08.</v>
      </c>
      <c r="B30" s="166" t="str">
        <f>ORÇ.!B53</f>
        <v>EMASSAMENTO E PINTURA</v>
      </c>
      <c r="C30" s="168">
        <f>D30/$D$58</f>
        <v>5.4974244150238313E-2</v>
      </c>
      <c r="D30" s="173">
        <f>ORÇ.!G53</f>
        <v>40134.032599999999</v>
      </c>
      <c r="E30" s="80"/>
      <c r="F30" s="80"/>
      <c r="G30" s="82"/>
      <c r="H30" s="82"/>
      <c r="I30" s="82"/>
      <c r="J30" s="82"/>
      <c r="K30" s="100"/>
      <c r="L30" s="100"/>
      <c r="M30" s="100"/>
      <c r="N30" s="100"/>
      <c r="O30" s="100"/>
      <c r="P30" s="100"/>
      <c r="Q30" s="100"/>
      <c r="R30" s="100"/>
      <c r="S30" s="82"/>
      <c r="T30" s="82"/>
      <c r="U30" s="101"/>
      <c r="V30" s="101"/>
      <c r="W30" s="81"/>
      <c r="X30" s="81"/>
      <c r="Y30" s="101"/>
      <c r="Z30" s="101"/>
      <c r="AA30" s="82"/>
      <c r="AB30" s="82"/>
      <c r="AD30" s="152">
        <f t="shared" ref="AD30" si="6">E31+G31+I31+K31+M31+O31+Q31+S31+U31+W31+Y31+AA31</f>
        <v>1</v>
      </c>
    </row>
    <row r="31" spans="1:30" x14ac:dyDescent="0.25">
      <c r="A31" s="167"/>
      <c r="B31" s="167"/>
      <c r="C31" s="169"/>
      <c r="D31" s="178"/>
      <c r="E31" s="76"/>
      <c r="F31" s="77"/>
      <c r="G31" s="76"/>
      <c r="H31" s="77"/>
      <c r="I31" s="80"/>
      <c r="J31" s="77"/>
      <c r="K31" s="80"/>
      <c r="L31" s="82"/>
      <c r="M31" s="76"/>
      <c r="N31" s="82"/>
      <c r="O31" s="76"/>
      <c r="P31" s="82"/>
      <c r="Q31" s="80"/>
      <c r="R31" s="82"/>
      <c r="S31" s="80"/>
      <c r="T31" s="82"/>
      <c r="U31" s="80">
        <v>0.39</v>
      </c>
      <c r="V31" s="77">
        <f>$D$30*U31</f>
        <v>15652.272714000001</v>
      </c>
      <c r="W31" s="80">
        <v>0.4</v>
      </c>
      <c r="X31" s="77">
        <f>$D$30*W31</f>
        <v>16053.61304</v>
      </c>
      <c r="Y31" s="80">
        <v>0.21</v>
      </c>
      <c r="Z31" s="77">
        <f>$D$30*Y31</f>
        <v>8428.1468459999996</v>
      </c>
      <c r="AA31" s="80"/>
      <c r="AB31" s="82"/>
      <c r="AD31" s="68"/>
    </row>
    <row r="32" spans="1:30" x14ac:dyDescent="0.25">
      <c r="A32" s="60"/>
      <c r="B32" s="64"/>
      <c r="C32" s="78"/>
      <c r="D32" s="78"/>
      <c r="E32" s="78"/>
      <c r="F32" s="78"/>
      <c r="G32" s="78"/>
      <c r="H32" s="78"/>
      <c r="I32" s="84"/>
      <c r="J32" s="85"/>
      <c r="K32" s="84"/>
      <c r="L32" s="85"/>
      <c r="M32" s="78"/>
      <c r="N32" s="78"/>
      <c r="O32" s="78"/>
      <c r="P32" s="78"/>
      <c r="Q32" s="84"/>
      <c r="R32" s="78"/>
      <c r="S32" s="78"/>
      <c r="T32" s="79"/>
      <c r="U32" s="78"/>
      <c r="V32" s="78"/>
      <c r="W32" s="78"/>
      <c r="X32" s="78"/>
      <c r="Y32" s="78"/>
      <c r="Z32" s="78"/>
      <c r="AA32" s="78"/>
      <c r="AB32" s="79"/>
      <c r="AD32" s="68"/>
    </row>
    <row r="33" spans="1:30" x14ac:dyDescent="0.25">
      <c r="A33" s="166" t="str">
        <f>ORÇ.!A62</f>
        <v>09.</v>
      </c>
      <c r="B33" s="166" t="str">
        <f>ORÇ.!B62</f>
        <v>COBERTURA</v>
      </c>
      <c r="C33" s="168">
        <f>D33/$D$58</f>
        <v>2.3965745165090296E-2</v>
      </c>
      <c r="D33" s="173">
        <f>ORÇ.!G62</f>
        <v>17496.229599999999</v>
      </c>
      <c r="E33" s="76"/>
      <c r="F33" s="76"/>
      <c r="G33" s="76"/>
      <c r="H33" s="77"/>
      <c r="I33" s="77"/>
      <c r="J33" s="77"/>
      <c r="K33" s="100"/>
      <c r="L33" s="100"/>
      <c r="M33" s="100"/>
      <c r="N33" s="100"/>
      <c r="O33" s="100"/>
      <c r="P33" s="100"/>
      <c r="Q33" s="77"/>
      <c r="R33" s="77"/>
      <c r="S33" s="101"/>
      <c r="T33" s="101"/>
      <c r="U33" s="101"/>
      <c r="V33" s="101"/>
      <c r="W33" s="101"/>
      <c r="X33" s="101"/>
      <c r="Y33" s="101"/>
      <c r="Z33" s="101"/>
      <c r="AA33" s="77"/>
      <c r="AB33" s="77"/>
      <c r="AD33" s="152">
        <f t="shared" ref="AD33" si="7">E34+G34+I34+K34+M34+O34+Q34+S34+U34+W34+Y34+AA34</f>
        <v>1</v>
      </c>
    </row>
    <row r="34" spans="1:30" x14ac:dyDescent="0.25">
      <c r="A34" s="167"/>
      <c r="B34" s="167"/>
      <c r="C34" s="169"/>
      <c r="D34" s="174"/>
      <c r="E34" s="76"/>
      <c r="F34" s="77"/>
      <c r="G34" s="76"/>
      <c r="H34" s="77"/>
      <c r="I34" s="80"/>
      <c r="J34" s="77"/>
      <c r="K34" s="76"/>
      <c r="L34" s="77"/>
      <c r="M34" s="76"/>
      <c r="N34" s="77"/>
      <c r="O34" s="76"/>
      <c r="P34" s="77"/>
      <c r="Q34" s="80"/>
      <c r="R34" s="77"/>
      <c r="S34" s="76">
        <v>0.1</v>
      </c>
      <c r="T34" s="77">
        <f>$D$33*S34</f>
        <v>1749.6229599999999</v>
      </c>
      <c r="U34" s="76">
        <v>0.27</v>
      </c>
      <c r="V34" s="77">
        <f>$D$33*U34</f>
        <v>4723.981992</v>
      </c>
      <c r="W34" s="80">
        <v>0.3</v>
      </c>
      <c r="X34" s="77">
        <f>$D$33*W34</f>
        <v>5248.8688799999991</v>
      </c>
      <c r="Y34" s="76">
        <v>0.33000000000000007</v>
      </c>
      <c r="Z34" s="77">
        <f>$D$33*Y34</f>
        <v>5773.7557680000009</v>
      </c>
      <c r="AA34" s="76"/>
      <c r="AB34" s="77"/>
      <c r="AD34" s="68"/>
    </row>
    <row r="35" spans="1:30" x14ac:dyDescent="0.25">
      <c r="A35" s="60"/>
      <c r="B35" s="64"/>
      <c r="C35" s="78"/>
      <c r="D35" s="78"/>
      <c r="E35" s="78"/>
      <c r="F35" s="78"/>
      <c r="G35" s="78"/>
      <c r="H35" s="78"/>
      <c r="I35" s="84"/>
      <c r="J35" s="85"/>
      <c r="K35" s="84"/>
      <c r="L35" s="85"/>
      <c r="M35" s="78"/>
      <c r="N35" s="78"/>
      <c r="O35" s="78"/>
      <c r="P35" s="78"/>
      <c r="Q35" s="84"/>
      <c r="R35" s="78"/>
      <c r="S35" s="78"/>
      <c r="T35" s="79"/>
      <c r="U35" s="78"/>
      <c r="V35" s="78"/>
      <c r="W35" s="78"/>
      <c r="X35" s="78"/>
      <c r="Y35" s="78"/>
      <c r="Z35" s="78"/>
      <c r="AA35" s="78"/>
      <c r="AB35" s="79"/>
      <c r="AD35" s="68"/>
    </row>
    <row r="36" spans="1:30" x14ac:dyDescent="0.25">
      <c r="A36" s="166" t="str">
        <f>ORÇ.!A67</f>
        <v>10.</v>
      </c>
      <c r="B36" s="166" t="str">
        <f>ORÇ.!B67</f>
        <v>ESQUADRIAS</v>
      </c>
      <c r="C36" s="168">
        <f>D36/$D$58</f>
        <v>4.4857496206139699E-2</v>
      </c>
      <c r="D36" s="173">
        <f>ORÇ.!G67</f>
        <v>32748.284999999996</v>
      </c>
      <c r="E36" s="76"/>
      <c r="F36" s="77"/>
      <c r="G36" s="80"/>
      <c r="H36" s="80"/>
      <c r="I36" s="76"/>
      <c r="J36" s="76"/>
      <c r="K36" s="76"/>
      <c r="L36" s="76"/>
      <c r="M36" s="76"/>
      <c r="N36" s="77"/>
      <c r="O36" s="77"/>
      <c r="P36" s="77"/>
      <c r="Q36" s="77"/>
      <c r="R36" s="77"/>
      <c r="S36" s="77"/>
      <c r="T36" s="77"/>
      <c r="U36" s="101"/>
      <c r="V36" s="101"/>
      <c r="W36" s="101"/>
      <c r="X36" s="101"/>
      <c r="Y36" s="101"/>
      <c r="Z36" s="101"/>
      <c r="AA36" s="77"/>
      <c r="AB36" s="77"/>
      <c r="AD36" s="152">
        <f t="shared" ref="AD36" si="8">E37+G37+I37+K37+M37+O37+Q37+S37+U37+W37+Y37+AA37</f>
        <v>1</v>
      </c>
    </row>
    <row r="37" spans="1:30" x14ac:dyDescent="0.25">
      <c r="A37" s="167"/>
      <c r="B37" s="167"/>
      <c r="C37" s="169"/>
      <c r="D37" s="174"/>
      <c r="E37" s="86"/>
      <c r="F37" s="86"/>
      <c r="G37" s="76"/>
      <c r="H37" s="77"/>
      <c r="I37" s="80"/>
      <c r="J37" s="77"/>
      <c r="K37" s="76"/>
      <c r="L37" s="77"/>
      <c r="M37" s="86"/>
      <c r="N37" s="86"/>
      <c r="O37" s="76"/>
      <c r="P37" s="82"/>
      <c r="Q37" s="80"/>
      <c r="R37" s="77"/>
      <c r="S37" s="76"/>
      <c r="T37" s="77"/>
      <c r="U37" s="76">
        <v>0.28000000000000003</v>
      </c>
      <c r="V37" s="77">
        <f>$D$36*U37</f>
        <v>9169.5198</v>
      </c>
      <c r="W37" s="80">
        <v>0.32</v>
      </c>
      <c r="X37" s="77">
        <f>$D$36*W37</f>
        <v>10479.4512</v>
      </c>
      <c r="Y37" s="76">
        <v>0.39999999999999991</v>
      </c>
      <c r="Z37" s="77">
        <f>$D$36*Y37</f>
        <v>13099.313999999995</v>
      </c>
      <c r="AA37" s="76"/>
      <c r="AB37" s="77"/>
      <c r="AD37" s="68"/>
    </row>
    <row r="38" spans="1:30" x14ac:dyDescent="0.25">
      <c r="A38" s="60"/>
      <c r="B38" s="64"/>
      <c r="C38" s="78"/>
      <c r="D38" s="78"/>
      <c r="E38" s="78"/>
      <c r="F38" s="78"/>
      <c r="G38" s="78"/>
      <c r="H38" s="78"/>
      <c r="I38" s="84"/>
      <c r="J38" s="85"/>
      <c r="K38" s="84"/>
      <c r="L38" s="85"/>
      <c r="M38" s="78"/>
      <c r="N38" s="78"/>
      <c r="O38" s="78"/>
      <c r="P38" s="78"/>
      <c r="Q38" s="84"/>
      <c r="R38" s="78"/>
      <c r="S38" s="78"/>
      <c r="T38" s="79"/>
      <c r="U38" s="78"/>
      <c r="V38" s="78"/>
      <c r="W38" s="78"/>
      <c r="X38" s="78"/>
      <c r="Y38" s="78"/>
      <c r="Z38" s="78"/>
      <c r="AA38" s="78"/>
      <c r="AB38" s="79"/>
      <c r="AD38" s="68"/>
    </row>
    <row r="39" spans="1:30" x14ac:dyDescent="0.25">
      <c r="A39" s="166" t="str">
        <f>ORÇ.!A73</f>
        <v>11.</v>
      </c>
      <c r="B39" s="166" t="str">
        <f>ORÇ.!B73</f>
        <v>INSTALAÇÕES CONTRA INCÊNDIO E PÂNICO</v>
      </c>
      <c r="C39" s="168">
        <f>D39/$D$58</f>
        <v>1.5591322109967063E-2</v>
      </c>
      <c r="D39" s="173">
        <f>ORÇ.!G73</f>
        <v>11382.468999999999</v>
      </c>
      <c r="E39" s="76"/>
      <c r="F39" s="77"/>
      <c r="G39" s="77"/>
      <c r="H39" s="77"/>
      <c r="I39" s="77"/>
      <c r="J39" s="77"/>
      <c r="K39" s="101"/>
      <c r="L39" s="101"/>
      <c r="M39" s="102"/>
      <c r="N39" s="101"/>
      <c r="O39" s="101"/>
      <c r="P39" s="101"/>
      <c r="Q39" s="81"/>
      <c r="R39" s="81"/>
      <c r="S39" s="101"/>
      <c r="T39" s="101"/>
      <c r="U39" s="101"/>
      <c r="V39" s="101"/>
      <c r="W39" s="77"/>
      <c r="X39" s="77"/>
      <c r="Y39" s="77"/>
      <c r="Z39" s="77"/>
      <c r="AA39" s="77"/>
      <c r="AB39" s="77"/>
      <c r="AD39" s="152">
        <f t="shared" ref="AD39" si="9">E40+G40+I40+K40+M40+O40+Q40+S40+U40+W40+Y40+AA40</f>
        <v>1</v>
      </c>
    </row>
    <row r="40" spans="1:30" x14ac:dyDescent="0.25">
      <c r="A40" s="167"/>
      <c r="B40" s="167"/>
      <c r="C40" s="169"/>
      <c r="D40" s="174"/>
      <c r="E40" s="86"/>
      <c r="F40" s="86"/>
      <c r="G40" s="76"/>
      <c r="H40" s="77"/>
      <c r="I40" s="80"/>
      <c r="J40" s="77"/>
      <c r="K40" s="80">
        <v>0.08</v>
      </c>
      <c r="L40" s="77">
        <f>$D$39*K40</f>
        <v>910.59751999999992</v>
      </c>
      <c r="M40" s="80">
        <v>0.12</v>
      </c>
      <c r="N40" s="77">
        <f>$D$39*M40</f>
        <v>1365.8962799999999</v>
      </c>
      <c r="O40" s="76">
        <v>0.28000000000000003</v>
      </c>
      <c r="P40" s="77">
        <f>$D$39*O40</f>
        <v>3187.09132</v>
      </c>
      <c r="Q40" s="80">
        <v>0.18</v>
      </c>
      <c r="R40" s="77">
        <f>$D$39*Q40</f>
        <v>2048.8444199999999</v>
      </c>
      <c r="S40" s="80">
        <v>0.2</v>
      </c>
      <c r="T40" s="77">
        <f>$D$39*S40</f>
        <v>2276.4937999999997</v>
      </c>
      <c r="U40" s="80">
        <v>0.1399999999999999</v>
      </c>
      <c r="V40" s="77">
        <f>$D$39*U40</f>
        <v>1593.5456599999989</v>
      </c>
      <c r="W40" s="80"/>
      <c r="X40" s="77"/>
      <c r="Y40" s="80"/>
      <c r="Z40" s="77"/>
      <c r="AA40" s="80"/>
      <c r="AB40" s="77"/>
      <c r="AD40" s="68"/>
    </row>
    <row r="41" spans="1:30" x14ac:dyDescent="0.25">
      <c r="A41" s="60"/>
      <c r="B41" s="64"/>
      <c r="C41" s="78"/>
      <c r="D41" s="78"/>
      <c r="E41" s="78"/>
      <c r="F41" s="78"/>
      <c r="G41" s="78"/>
      <c r="H41" s="78"/>
      <c r="I41" s="84"/>
      <c r="J41" s="85"/>
      <c r="K41" s="84"/>
      <c r="L41" s="85"/>
      <c r="M41" s="78"/>
      <c r="N41" s="78"/>
      <c r="O41" s="78"/>
      <c r="P41" s="78"/>
      <c r="Q41" s="84"/>
      <c r="R41" s="78"/>
      <c r="S41" s="78"/>
      <c r="T41" s="79"/>
      <c r="U41" s="78"/>
      <c r="V41" s="78"/>
      <c r="W41" s="78"/>
      <c r="X41" s="78"/>
      <c r="Y41" s="78"/>
      <c r="Z41" s="78"/>
      <c r="AA41" s="78"/>
      <c r="AB41" s="79"/>
      <c r="AD41" s="68"/>
    </row>
    <row r="42" spans="1:30" x14ac:dyDescent="0.25">
      <c r="A42" s="166" t="str">
        <f>ORÇ.!A94</f>
        <v>12.</v>
      </c>
      <c r="B42" s="166" t="str">
        <f>ORÇ.!B94</f>
        <v>INSTALAÇÕES ELÉTRICAS, TELEFONE E LÓGICA</v>
      </c>
      <c r="C42" s="168">
        <f>D42/$D$58</f>
        <v>0.1105825310538035</v>
      </c>
      <c r="D42" s="173">
        <f>ORÇ.!G94</f>
        <v>80730.949099999998</v>
      </c>
      <c r="E42" s="87"/>
      <c r="F42" s="88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101"/>
      <c r="Z42" s="101"/>
      <c r="AA42" s="101"/>
      <c r="AB42" s="101"/>
      <c r="AD42" s="152">
        <f t="shared" ref="AD42" si="10">E43+G43+I43+K43+M43+O43+Q43+S43+U43+W43+Y43+AA43</f>
        <v>1</v>
      </c>
    </row>
    <row r="43" spans="1:30" x14ac:dyDescent="0.25">
      <c r="A43" s="167"/>
      <c r="B43" s="167"/>
      <c r="C43" s="169"/>
      <c r="D43" s="174"/>
      <c r="E43" s="87"/>
      <c r="F43" s="88"/>
      <c r="G43" s="76"/>
      <c r="H43" s="77"/>
      <c r="I43" s="76"/>
      <c r="J43" s="77"/>
      <c r="K43" s="77"/>
      <c r="L43" s="77"/>
      <c r="M43" s="87"/>
      <c r="N43" s="77"/>
      <c r="O43" s="76"/>
      <c r="P43" s="77"/>
      <c r="Q43" s="76"/>
      <c r="R43" s="77"/>
      <c r="S43" s="76"/>
      <c r="T43" s="77"/>
      <c r="U43" s="76"/>
      <c r="V43" s="77"/>
      <c r="W43" s="76"/>
      <c r="X43" s="77"/>
      <c r="Y43" s="76">
        <v>0.5</v>
      </c>
      <c r="Z43" s="77">
        <f>$D$42*Y43</f>
        <v>40365.474549999999</v>
      </c>
      <c r="AA43" s="76">
        <v>0.5</v>
      </c>
      <c r="AB43" s="77">
        <f>$D$42*AA43</f>
        <v>40365.474549999999</v>
      </c>
      <c r="AD43" s="68"/>
    </row>
    <row r="44" spans="1:30" x14ac:dyDescent="0.25">
      <c r="A44" s="60"/>
      <c r="B44" s="64"/>
      <c r="C44" s="78"/>
      <c r="D44" s="78"/>
      <c r="E44" s="78"/>
      <c r="F44" s="78"/>
      <c r="G44" s="78"/>
      <c r="H44" s="78"/>
      <c r="I44" s="84"/>
      <c r="J44" s="85"/>
      <c r="K44" s="84"/>
      <c r="L44" s="85"/>
      <c r="M44" s="78"/>
      <c r="N44" s="78"/>
      <c r="O44" s="78"/>
      <c r="P44" s="78"/>
      <c r="Q44" s="84"/>
      <c r="R44" s="78"/>
      <c r="S44" s="78"/>
      <c r="T44" s="79"/>
      <c r="U44" s="78"/>
      <c r="V44" s="78"/>
      <c r="W44" s="78"/>
      <c r="X44" s="78"/>
      <c r="Y44" s="78"/>
      <c r="Z44" s="78"/>
      <c r="AA44" s="78"/>
      <c r="AB44" s="79"/>
      <c r="AD44" s="68"/>
    </row>
    <row r="45" spans="1:30" x14ac:dyDescent="0.25">
      <c r="A45" s="166" t="str">
        <f>ORÇ.!A156</f>
        <v>13.</v>
      </c>
      <c r="B45" s="166" t="str">
        <f>ORÇ.!B156</f>
        <v>DRENOS DE AR-CONDICONADOS E PATIO</v>
      </c>
      <c r="C45" s="168">
        <f>D45/$D$58</f>
        <v>3.9298601831221922E-3</v>
      </c>
      <c r="D45" s="173">
        <f>ORÇ.!G156</f>
        <v>2869.0005500000002</v>
      </c>
      <c r="E45" s="87"/>
      <c r="F45" s="88"/>
      <c r="G45" s="87"/>
      <c r="H45" s="87"/>
      <c r="I45" s="77"/>
      <c r="J45" s="77"/>
      <c r="K45" s="101"/>
      <c r="L45" s="101"/>
      <c r="M45" s="103"/>
      <c r="N45" s="104"/>
      <c r="O45" s="103"/>
      <c r="P45" s="103"/>
      <c r="Q45" s="81"/>
      <c r="R45" s="81"/>
      <c r="S45" s="81"/>
      <c r="T45" s="81"/>
      <c r="U45" s="77"/>
      <c r="V45" s="77"/>
      <c r="W45" s="77"/>
      <c r="X45" s="77"/>
      <c r="Y45" s="77"/>
      <c r="Z45" s="77"/>
      <c r="AA45" s="77"/>
      <c r="AB45" s="77"/>
      <c r="AD45" s="152">
        <f t="shared" ref="AD45" si="11">E46+G46+I46+K46+M46+O46+Q46+S46+U46+W46+Y46+AA46</f>
        <v>0.99999999999999989</v>
      </c>
    </row>
    <row r="46" spans="1:30" x14ac:dyDescent="0.25">
      <c r="A46" s="167"/>
      <c r="B46" s="167"/>
      <c r="C46" s="169"/>
      <c r="D46" s="174"/>
      <c r="E46" s="87"/>
      <c r="F46" s="88"/>
      <c r="G46" s="76"/>
      <c r="H46" s="77"/>
      <c r="I46" s="76"/>
      <c r="J46" s="77"/>
      <c r="K46" s="76">
        <v>0.15</v>
      </c>
      <c r="L46" s="77">
        <f>$D$45*K46</f>
        <v>430.35008250000004</v>
      </c>
      <c r="M46" s="87">
        <v>0.2</v>
      </c>
      <c r="N46" s="77">
        <f>$D$45*M46</f>
        <v>573.80011000000002</v>
      </c>
      <c r="O46" s="76">
        <v>0.28000000000000003</v>
      </c>
      <c r="P46" s="77">
        <f>$D$45*O46</f>
        <v>803.32015400000012</v>
      </c>
      <c r="Q46" s="76">
        <v>0.1</v>
      </c>
      <c r="R46" s="77">
        <f>$D$45*Q46</f>
        <v>286.90005500000001</v>
      </c>
      <c r="S46" s="76">
        <v>0.26999999999999991</v>
      </c>
      <c r="T46" s="77">
        <f>$D$45*S46</f>
        <v>774.63014849999979</v>
      </c>
      <c r="U46" s="76"/>
      <c r="V46" s="77"/>
      <c r="W46" s="76"/>
      <c r="X46" s="77"/>
      <c r="Y46" s="76"/>
      <c r="Z46" s="77"/>
      <c r="AA46" s="76"/>
      <c r="AB46" s="77"/>
      <c r="AD46" s="68"/>
    </row>
    <row r="47" spans="1:30" x14ac:dyDescent="0.25">
      <c r="A47" s="60"/>
      <c r="B47" s="64"/>
      <c r="C47" s="78"/>
      <c r="D47" s="78"/>
      <c r="E47" s="78"/>
      <c r="F47" s="78"/>
      <c r="G47" s="78"/>
      <c r="H47" s="78"/>
      <c r="I47" s="84"/>
      <c r="J47" s="85"/>
      <c r="K47" s="84"/>
      <c r="L47" s="85"/>
      <c r="M47" s="78"/>
      <c r="N47" s="78"/>
      <c r="O47" s="78"/>
      <c r="P47" s="78"/>
      <c r="Q47" s="84"/>
      <c r="R47" s="78"/>
      <c r="S47" s="78"/>
      <c r="T47" s="79"/>
      <c r="U47" s="78"/>
      <c r="V47" s="78"/>
      <c r="W47" s="78"/>
      <c r="X47" s="78"/>
      <c r="Y47" s="78"/>
      <c r="Z47" s="78"/>
      <c r="AA47" s="78"/>
      <c r="AB47" s="79"/>
      <c r="AD47" s="68"/>
    </row>
    <row r="48" spans="1:30" x14ac:dyDescent="0.25">
      <c r="A48" s="182" t="str">
        <f>ORÇ.!A168</f>
        <v>14.</v>
      </c>
      <c r="B48" s="182" t="str">
        <f>ORÇ.!B168</f>
        <v>ATERRAMENTO - SPDA</v>
      </c>
      <c r="C48" s="168">
        <f>D48/$D$58</f>
        <v>1.6529709258589851E-2</v>
      </c>
      <c r="D48" s="173">
        <f>ORÇ.!G168</f>
        <v>12067.54</v>
      </c>
      <c r="E48" s="87"/>
      <c r="F48" s="88"/>
      <c r="G48" s="88"/>
      <c r="H48" s="88"/>
      <c r="I48" s="88"/>
      <c r="J48" s="88"/>
      <c r="K48" s="88"/>
      <c r="L48" s="88"/>
      <c r="M48" s="103"/>
      <c r="N48" s="104"/>
      <c r="O48" s="104"/>
      <c r="P48" s="104"/>
      <c r="Q48" s="104"/>
      <c r="R48" s="104"/>
      <c r="S48" s="81"/>
      <c r="T48" s="81"/>
      <c r="U48" s="81"/>
      <c r="V48" s="81"/>
      <c r="W48" s="88"/>
      <c r="X48" s="88"/>
      <c r="Y48" s="88"/>
      <c r="Z48" s="88"/>
      <c r="AA48" s="88"/>
      <c r="AB48" s="88"/>
      <c r="AD48" s="152">
        <f t="shared" ref="AD48" si="12">E49+G49+I49+K49+M49+O49+Q49+S49+U49+W49+Y49+AA49</f>
        <v>1</v>
      </c>
    </row>
    <row r="49" spans="1:30" x14ac:dyDescent="0.25">
      <c r="A49" s="183"/>
      <c r="B49" s="183"/>
      <c r="C49" s="169"/>
      <c r="D49" s="174"/>
      <c r="E49" s="87"/>
      <c r="F49" s="88"/>
      <c r="G49" s="76"/>
      <c r="H49" s="77"/>
      <c r="I49" s="76"/>
      <c r="J49" s="77"/>
      <c r="K49" s="76"/>
      <c r="L49" s="88"/>
      <c r="M49" s="87">
        <v>0.1</v>
      </c>
      <c r="N49" s="77">
        <f>$D$48*M49</f>
        <v>1206.7540000000001</v>
      </c>
      <c r="O49" s="76">
        <v>0.15</v>
      </c>
      <c r="P49" s="77">
        <f>$D$48*O49</f>
        <v>1810.1310000000001</v>
      </c>
      <c r="Q49" s="76">
        <v>0.23</v>
      </c>
      <c r="R49" s="77">
        <f>$D$48*Q49</f>
        <v>2775.5342000000005</v>
      </c>
      <c r="S49" s="76">
        <v>0.28000000000000003</v>
      </c>
      <c r="T49" s="77">
        <f>$D$48*S49</f>
        <v>3378.9112000000005</v>
      </c>
      <c r="U49" s="76">
        <v>0.24</v>
      </c>
      <c r="V49" s="77">
        <f>$D$48*U49</f>
        <v>2896.2096000000001</v>
      </c>
      <c r="W49" s="76"/>
      <c r="X49" s="77"/>
      <c r="Y49" s="76"/>
      <c r="Z49" s="77"/>
      <c r="AA49" s="76"/>
      <c r="AB49" s="77"/>
      <c r="AD49" s="68"/>
    </row>
    <row r="50" spans="1:30" x14ac:dyDescent="0.25">
      <c r="A50" s="60"/>
      <c r="B50" s="64"/>
      <c r="C50" s="78"/>
      <c r="D50" s="78"/>
      <c r="E50" s="78"/>
      <c r="F50" s="78"/>
      <c r="G50" s="78"/>
      <c r="H50" s="78"/>
      <c r="I50" s="84"/>
      <c r="J50" s="85"/>
      <c r="K50" s="84"/>
      <c r="L50" s="85"/>
      <c r="M50" s="78"/>
      <c r="N50" s="78"/>
      <c r="O50" s="78"/>
      <c r="P50" s="78"/>
      <c r="Q50" s="84"/>
      <c r="R50" s="78"/>
      <c r="S50" s="78"/>
      <c r="T50" s="79"/>
      <c r="U50" s="78"/>
      <c r="V50" s="78"/>
      <c r="W50" s="78"/>
      <c r="X50" s="78"/>
      <c r="Y50" s="78"/>
      <c r="Z50" s="78"/>
      <c r="AA50" s="78"/>
      <c r="AB50" s="79"/>
      <c r="AD50" s="68"/>
    </row>
    <row r="51" spans="1:30" x14ac:dyDescent="0.25">
      <c r="A51" s="166" t="str">
        <f>ORÇ.!A187</f>
        <v>15.</v>
      </c>
      <c r="B51" s="166" t="str">
        <f>ORÇ.!B187</f>
        <v>LIMPEZA DA OBRA</v>
      </c>
      <c r="C51" s="168">
        <f>D51/$D$58</f>
        <v>7.690371915960551E-3</v>
      </c>
      <c r="D51" s="173">
        <f>ORÇ.!G187</f>
        <v>5614.3680000000004</v>
      </c>
      <c r="E51" s="87"/>
      <c r="F51" s="88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101"/>
      <c r="Z51" s="101"/>
      <c r="AA51" s="101"/>
      <c r="AB51" s="101"/>
      <c r="AD51" s="152">
        <f t="shared" ref="AD51" si="13">E52+G52+I52+K52+M52+O52+Q52+S52+U52+W52+Y52+AA52</f>
        <v>1</v>
      </c>
    </row>
    <row r="52" spans="1:30" x14ac:dyDescent="0.25">
      <c r="A52" s="167"/>
      <c r="B52" s="167"/>
      <c r="C52" s="169"/>
      <c r="D52" s="174"/>
      <c r="E52" s="87"/>
      <c r="F52" s="88"/>
      <c r="G52" s="76"/>
      <c r="H52" s="77"/>
      <c r="I52" s="76"/>
      <c r="J52" s="77"/>
      <c r="K52" s="76"/>
      <c r="L52" s="77"/>
      <c r="M52" s="87"/>
      <c r="N52" s="77"/>
      <c r="O52" s="76"/>
      <c r="P52" s="77"/>
      <c r="Q52" s="76"/>
      <c r="R52" s="77"/>
      <c r="S52" s="76"/>
      <c r="T52" s="77"/>
      <c r="U52" s="76"/>
      <c r="V52" s="77"/>
      <c r="W52" s="76"/>
      <c r="X52" s="77"/>
      <c r="Y52" s="76">
        <v>0.5</v>
      </c>
      <c r="Z52" s="77">
        <f>$D$51*Y52</f>
        <v>2807.1840000000002</v>
      </c>
      <c r="AA52" s="76">
        <v>0.5</v>
      </c>
      <c r="AB52" s="77">
        <f>$D$51*AA52</f>
        <v>2807.1840000000002</v>
      </c>
      <c r="AD52" s="68"/>
    </row>
    <row r="53" spans="1:30" x14ac:dyDescent="0.25">
      <c r="A53" s="60"/>
      <c r="B53" s="64"/>
      <c r="C53" s="78"/>
      <c r="D53" s="78"/>
      <c r="E53" s="78"/>
      <c r="F53" s="78"/>
      <c r="G53" s="78"/>
      <c r="H53" s="78"/>
      <c r="I53" s="84"/>
      <c r="J53" s="85"/>
      <c r="K53" s="84"/>
      <c r="L53" s="85"/>
      <c r="M53" s="78"/>
      <c r="N53" s="78"/>
      <c r="O53" s="78"/>
      <c r="P53" s="78"/>
      <c r="Q53" s="84"/>
      <c r="R53" s="78"/>
      <c r="S53" s="78"/>
      <c r="T53" s="79"/>
      <c r="U53" s="78"/>
      <c r="V53" s="78"/>
      <c r="W53" s="78"/>
      <c r="X53" s="78"/>
      <c r="Y53" s="78"/>
      <c r="Z53" s="78"/>
      <c r="AA53" s="78"/>
      <c r="AB53" s="79"/>
      <c r="AD53" s="68"/>
    </row>
    <row r="54" spans="1:30" x14ac:dyDescent="0.25">
      <c r="A54" s="166" t="str">
        <f>ORÇ.!A190</f>
        <v>16.</v>
      </c>
      <c r="B54" s="166" t="str">
        <f>ORÇ.!B190</f>
        <v>ADMINISTRAÇÃO LOCAL DA OBRA</v>
      </c>
      <c r="C54" s="168">
        <f>D54/$D$58</f>
        <v>0.14237241033138667</v>
      </c>
      <c r="D54" s="173">
        <f>ORÇ.!G190</f>
        <v>103939.2</v>
      </c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D54" s="152">
        <f t="shared" ref="AD54" si="14">E55+G55+I55+K55+M55+O55+Q55+S55+U55+W55+Y55+AA55</f>
        <v>1</v>
      </c>
    </row>
    <row r="55" spans="1:30" x14ac:dyDescent="0.25">
      <c r="A55" s="167"/>
      <c r="B55" s="167"/>
      <c r="C55" s="169"/>
      <c r="D55" s="174"/>
      <c r="E55" s="105">
        <v>8.3299999999999999E-2</v>
      </c>
      <c r="F55" s="88">
        <f>$D$54*E55</f>
        <v>8658.1353600000002</v>
      </c>
      <c r="G55" s="105">
        <v>8.3299999999999999E-2</v>
      </c>
      <c r="H55" s="88">
        <f>$D$54*G55</f>
        <v>8658.1353600000002</v>
      </c>
      <c r="I55" s="105">
        <v>8.3299999999999999E-2</v>
      </c>
      <c r="J55" s="88">
        <f>$D$54*I55</f>
        <v>8658.1353600000002</v>
      </c>
      <c r="K55" s="105">
        <v>8.3299999999999999E-2</v>
      </c>
      <c r="L55" s="88">
        <f>$D$54*K55</f>
        <v>8658.1353600000002</v>
      </c>
      <c r="M55" s="105">
        <v>8.3299999999999999E-2</v>
      </c>
      <c r="N55" s="88">
        <f>$D$54*M55</f>
        <v>8658.1353600000002</v>
      </c>
      <c r="O55" s="105">
        <v>8.3299999999999999E-2</v>
      </c>
      <c r="P55" s="88">
        <f>$D$54*O55</f>
        <v>8658.1353600000002</v>
      </c>
      <c r="Q55" s="105">
        <v>8.3299999999999999E-2</v>
      </c>
      <c r="R55" s="88">
        <f>$D$54*Q55</f>
        <v>8658.1353600000002</v>
      </c>
      <c r="S55" s="105">
        <v>8.3299999999999999E-2</v>
      </c>
      <c r="T55" s="88">
        <f>$D$54*S55</f>
        <v>8658.1353600000002</v>
      </c>
      <c r="U55" s="105">
        <v>8.3299999999999999E-2</v>
      </c>
      <c r="V55" s="88">
        <f>$D$54*U55</f>
        <v>8658.1353600000002</v>
      </c>
      <c r="W55" s="105">
        <v>8.3299999999999999E-2</v>
      </c>
      <c r="X55" s="88">
        <f>$D$54*W55</f>
        <v>8658.1353600000002</v>
      </c>
      <c r="Y55" s="105">
        <v>8.3500000000000005E-2</v>
      </c>
      <c r="Z55" s="88">
        <f>$D$54*Y55</f>
        <v>8678.9232000000011</v>
      </c>
      <c r="AA55" s="40">
        <v>8.3500000000000005E-2</v>
      </c>
      <c r="AB55" s="88">
        <f>$D$54*AA55</f>
        <v>8678.9232000000011</v>
      </c>
      <c r="AD55" s="68"/>
    </row>
    <row r="56" spans="1:30" x14ac:dyDescent="0.25">
      <c r="A56" s="60"/>
      <c r="B56" s="64"/>
      <c r="C56" s="78"/>
      <c r="D56" s="78"/>
      <c r="E56" s="78"/>
      <c r="F56" s="78"/>
      <c r="G56" s="78"/>
      <c r="H56" s="78"/>
      <c r="I56" s="84"/>
      <c r="J56" s="85"/>
      <c r="K56" s="84"/>
      <c r="L56" s="85"/>
      <c r="M56" s="78"/>
      <c r="N56" s="78"/>
      <c r="O56" s="78"/>
      <c r="P56" s="78"/>
      <c r="Q56" s="84"/>
      <c r="R56" s="78"/>
      <c r="S56" s="78"/>
      <c r="T56" s="79"/>
      <c r="U56" s="78"/>
      <c r="V56" s="78"/>
      <c r="W56" s="78"/>
      <c r="X56" s="78"/>
      <c r="Y56" s="78"/>
      <c r="Z56" s="78"/>
      <c r="AA56" s="78"/>
      <c r="AB56" s="79"/>
      <c r="AD56" s="68"/>
    </row>
    <row r="57" spans="1:30" x14ac:dyDescent="0.25">
      <c r="A57" s="60"/>
      <c r="B57" s="64"/>
      <c r="C57" s="153"/>
      <c r="D57" s="78"/>
      <c r="E57" s="78"/>
      <c r="F57" s="78"/>
      <c r="G57" s="78"/>
      <c r="H57" s="78"/>
      <c r="I57" s="84"/>
      <c r="J57" s="85"/>
      <c r="K57" s="84"/>
      <c r="L57" s="85"/>
      <c r="M57" s="78"/>
      <c r="N57" s="78"/>
      <c r="O57" s="78"/>
      <c r="P57" s="78"/>
      <c r="Q57" s="84"/>
      <c r="R57" s="78"/>
      <c r="S57" s="78"/>
      <c r="T57" s="79"/>
      <c r="U57" s="78"/>
      <c r="V57" s="78"/>
      <c r="W57" s="78"/>
      <c r="X57" s="78"/>
      <c r="Y57" s="78"/>
      <c r="Z57" s="78"/>
      <c r="AA57" s="78"/>
      <c r="AB57" s="79"/>
      <c r="AD57" s="152">
        <f t="shared" ref="AD57" si="15">E58+G58+I58+K58+M58+O58+Q58+S58+U58+W58+Y58+AA58</f>
        <v>1.0000000000000002</v>
      </c>
    </row>
    <row r="58" spans="1:30" x14ac:dyDescent="0.25">
      <c r="A58" s="179" t="s">
        <v>491</v>
      </c>
      <c r="B58" s="180"/>
      <c r="C58" s="180"/>
      <c r="D58" s="99">
        <f>SUM(D9:D55)</f>
        <v>730051.55814999994</v>
      </c>
      <c r="E58" s="90">
        <f>F60/$D$61</f>
        <v>0.22133056978805934</v>
      </c>
      <c r="F58" s="91">
        <f>SUM(F8:F55)</f>
        <v>161582.72734000004</v>
      </c>
      <c r="G58" s="90">
        <f>H60/$D$61</f>
        <v>0.13778182661495361</v>
      </c>
      <c r="H58" s="91">
        <f>SUM(H8:H55)</f>
        <v>100587.83720500002</v>
      </c>
      <c r="I58" s="90">
        <f>J60/$D$61</f>
        <v>6.2590492479452309E-2</v>
      </c>
      <c r="J58" s="91">
        <f>SUM(J8:J55)</f>
        <v>45694.286560000008</v>
      </c>
      <c r="K58" s="90">
        <f>L60/$D$61</f>
        <v>5.9629068113783344E-2</v>
      </c>
      <c r="L58" s="91">
        <f>SUM(L8:L55)</f>
        <v>43532.294087500006</v>
      </c>
      <c r="M58" s="90">
        <f>N60/$D$61</f>
        <v>5.0962616933906489E-2</v>
      </c>
      <c r="N58" s="91">
        <f>SUM(N8:N55)</f>
        <v>37205.337900000006</v>
      </c>
      <c r="O58" s="90">
        <f>P60/$D$61</f>
        <v>3.7442681861085209E-2</v>
      </c>
      <c r="P58" s="91">
        <f>SUM(P8:P55)</f>
        <v>27335.088233999999</v>
      </c>
      <c r="Q58" s="90">
        <f>R60/$D$61</f>
        <v>3.4661414461087676E-2</v>
      </c>
      <c r="R58" s="91">
        <f>SUM(R8:R55)</f>
        <v>25304.619634999999</v>
      </c>
      <c r="S58" s="90">
        <f>T60/$D$61</f>
        <v>3.6852182791961355E-2</v>
      </c>
      <c r="T58" s="91">
        <f>SUM(T8:T55)</f>
        <v>26903.993468500004</v>
      </c>
      <c r="U58" s="90">
        <f>V60/$D$61</f>
        <v>9.6365961199065209E-2</v>
      </c>
      <c r="V58" s="91">
        <f>SUM(V8:V55)</f>
        <v>70352.120125999994</v>
      </c>
      <c r="W58" s="90">
        <f>X60/$D$61</f>
        <v>7.9081593807293488E-2</v>
      </c>
      <c r="X58" s="91">
        <f>SUM(X8:X55)</f>
        <v>57733.640780000002</v>
      </c>
      <c r="Y58" s="90">
        <f>Z60/$D$61</f>
        <v>0.11227704420179929</v>
      </c>
      <c r="Z58" s="91">
        <f>SUM(Z8:Z55)</f>
        <v>81968.031063999995</v>
      </c>
      <c r="AA58" s="90">
        <f>AB60/$D$61</f>
        <v>7.1024547747552805E-2</v>
      </c>
      <c r="AB58" s="91">
        <f>SUM(AB8:AB55)</f>
        <v>51851.581749999998</v>
      </c>
      <c r="AD58" s="68"/>
    </row>
    <row r="59" spans="1:30" x14ac:dyDescent="0.25">
      <c r="A59" s="179" t="s">
        <v>526</v>
      </c>
      <c r="B59" s="180"/>
      <c r="C59" s="181"/>
      <c r="D59" s="99">
        <f>D58*0.239</f>
        <v>174482.32239784999</v>
      </c>
      <c r="E59" s="92"/>
      <c r="F59" s="91">
        <f>F58*$C$66</f>
        <v>38618.271834260006</v>
      </c>
      <c r="G59" s="92"/>
      <c r="H59" s="91">
        <f>H58*$C$66</f>
        <v>24040.493091995002</v>
      </c>
      <c r="I59" s="92"/>
      <c r="J59" s="91">
        <f>J58*$C$66</f>
        <v>10920.934487840001</v>
      </c>
      <c r="K59" s="92"/>
      <c r="L59" s="91">
        <f>L58*$C$66</f>
        <v>10404.218286912501</v>
      </c>
      <c r="M59" s="92"/>
      <c r="N59" s="91">
        <f>N58*$C$66</f>
        <v>8892.0757581000016</v>
      </c>
      <c r="O59" s="92"/>
      <c r="P59" s="91">
        <f>P58*$C$66</f>
        <v>6533.0860879259999</v>
      </c>
      <c r="Q59" s="92"/>
      <c r="R59" s="91">
        <f>R58*$C$66</f>
        <v>6047.804092765</v>
      </c>
      <c r="S59" s="92"/>
      <c r="T59" s="91">
        <f>T58*$C$66</f>
        <v>6430.0544389715005</v>
      </c>
      <c r="U59" s="92"/>
      <c r="V59" s="91">
        <f>V58*0.239</f>
        <v>16814.156710113999</v>
      </c>
      <c r="W59" s="92"/>
      <c r="X59" s="91">
        <f>X58*$C$66</f>
        <v>13798.34014642</v>
      </c>
      <c r="Y59" s="92"/>
      <c r="Z59" s="91">
        <f>Z58*$C$66</f>
        <v>19590.359424295999</v>
      </c>
      <c r="AA59" s="92"/>
      <c r="AB59" s="91">
        <f>AB58*$C$66</f>
        <v>12392.528038249999</v>
      </c>
      <c r="AD59" s="68"/>
    </row>
    <row r="60" spans="1:30" x14ac:dyDescent="0.25">
      <c r="A60" s="179" t="s">
        <v>471</v>
      </c>
      <c r="B60" s="180"/>
      <c r="C60" s="181"/>
      <c r="D60" s="89"/>
      <c r="E60" s="92"/>
      <c r="F60" s="91">
        <f>SUM(F58:F59)</f>
        <v>200200.99917426004</v>
      </c>
      <c r="G60" s="92"/>
      <c r="H60" s="91">
        <f>SUM(H58:H59)</f>
        <v>124628.33029699502</v>
      </c>
      <c r="I60" s="92"/>
      <c r="J60" s="91">
        <f>SUM(J58:J59)</f>
        <v>56615.221047840008</v>
      </c>
      <c r="K60" s="92"/>
      <c r="L60" s="91">
        <f>SUM(L58:L59)</f>
        <v>53936.512374412509</v>
      </c>
      <c r="M60" s="92"/>
      <c r="N60" s="91">
        <f>SUM(N58:N59)</f>
        <v>46097.413658100006</v>
      </c>
      <c r="O60" s="92"/>
      <c r="P60" s="91">
        <f>SUM(P58:P59)</f>
        <v>33868.174321925995</v>
      </c>
      <c r="Q60" s="92"/>
      <c r="R60" s="91">
        <f>SUM(R58:R59)</f>
        <v>31352.423727764999</v>
      </c>
      <c r="S60" s="92"/>
      <c r="T60" s="91">
        <f>SUM(T58:T59)</f>
        <v>33334.047907471504</v>
      </c>
      <c r="U60" s="92"/>
      <c r="V60" s="91">
        <f>SUM(V58:V59)</f>
        <v>87166.27683611399</v>
      </c>
      <c r="W60" s="92"/>
      <c r="X60" s="91">
        <f>SUM(X58:X59)</f>
        <v>71531.980926420001</v>
      </c>
      <c r="Y60" s="92"/>
      <c r="Z60" s="91">
        <f>SUM(Z58:Z59)</f>
        <v>101558.39048829599</v>
      </c>
      <c r="AA60" s="92"/>
      <c r="AB60" s="91">
        <f>SUM(AB58:AB59)</f>
        <v>64244.109788249996</v>
      </c>
      <c r="AD60" s="152">
        <f t="shared" ref="AD60" si="16">E61+G61+I61+K61+M61+O61+Q61+S61+U61+W61+Y61+AA61</f>
        <v>7.314449839634249</v>
      </c>
    </row>
    <row r="61" spans="1:30" x14ac:dyDescent="0.25">
      <c r="A61" s="179" t="s">
        <v>472</v>
      </c>
      <c r="B61" s="180"/>
      <c r="C61" s="181"/>
      <c r="D61" s="99">
        <f>SUM(D58:D59)</f>
        <v>904533.88054784993</v>
      </c>
      <c r="E61" s="93">
        <f>E58</f>
        <v>0.22133056978805934</v>
      </c>
      <c r="F61" s="94">
        <f>F60</f>
        <v>200200.99917426004</v>
      </c>
      <c r="G61" s="93">
        <f>E61+G58</f>
        <v>0.35911239640301296</v>
      </c>
      <c r="H61" s="94">
        <f>F61+H60</f>
        <v>324829.32947125507</v>
      </c>
      <c r="I61" s="93">
        <f>G61+I58</f>
        <v>0.42170288888246527</v>
      </c>
      <c r="J61" s="94">
        <f>H61+J60</f>
        <v>381444.55051909509</v>
      </c>
      <c r="K61" s="93">
        <f>I61+K58</f>
        <v>0.48133195699624859</v>
      </c>
      <c r="L61" s="94">
        <f>J61+L60</f>
        <v>435381.06289350759</v>
      </c>
      <c r="M61" s="93">
        <f>K61+M58</f>
        <v>0.53229457393015511</v>
      </c>
      <c r="N61" s="94">
        <f>L61+N60</f>
        <v>481478.4765516076</v>
      </c>
      <c r="O61" s="93">
        <f>M61+O58</f>
        <v>0.56973725579124035</v>
      </c>
      <c r="P61" s="94">
        <f>N61+P60</f>
        <v>515346.65087353357</v>
      </c>
      <c r="Q61" s="93">
        <f>O61+Q58</f>
        <v>0.60439867025232807</v>
      </c>
      <c r="R61" s="94">
        <f>P61+R60</f>
        <v>546699.07460129855</v>
      </c>
      <c r="S61" s="93">
        <f>Q61+S58</f>
        <v>0.64125085304428942</v>
      </c>
      <c r="T61" s="94">
        <f>R61+T60</f>
        <v>580033.12250877009</v>
      </c>
      <c r="U61" s="93">
        <f>S61+U58</f>
        <v>0.73761681424335457</v>
      </c>
      <c r="V61" s="94">
        <f>T61+V60</f>
        <v>667199.39934488409</v>
      </c>
      <c r="W61" s="93">
        <f>U61+W58</f>
        <v>0.81669840805064808</v>
      </c>
      <c r="X61" s="94">
        <f>V61+X60</f>
        <v>738731.38027130405</v>
      </c>
      <c r="Y61" s="93">
        <f>W61+Y58</f>
        <v>0.92897545225244738</v>
      </c>
      <c r="Z61" s="94">
        <f>X61+Z60</f>
        <v>840289.77075959998</v>
      </c>
      <c r="AA61" s="93">
        <f>Y61+AA58</f>
        <v>1.0000000000000002</v>
      </c>
      <c r="AB61" s="94">
        <f>Z61+AB60</f>
        <v>904533.88054784993</v>
      </c>
      <c r="AD61" s="68"/>
    </row>
    <row r="62" spans="1:30" x14ac:dyDescent="0.25">
      <c r="A62" s="59"/>
      <c r="B62" s="63"/>
      <c r="C62" s="95"/>
      <c r="D62" s="95"/>
      <c r="E62" s="95"/>
      <c r="F62" s="95"/>
      <c r="G62" s="95"/>
      <c r="H62" s="95"/>
      <c r="I62" s="96"/>
      <c r="J62" s="96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</row>
    <row r="63" spans="1:30" x14ac:dyDescent="0.25">
      <c r="A63" s="59"/>
      <c r="B63" s="63" t="s">
        <v>524</v>
      </c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7"/>
      <c r="AA63" s="95"/>
      <c r="AB63" s="95"/>
    </row>
    <row r="64" spans="1:30" x14ac:dyDescent="0.25">
      <c r="A64" s="59"/>
      <c r="B64" s="63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8"/>
      <c r="AA64" s="95"/>
      <c r="AB64" s="95"/>
    </row>
    <row r="65" spans="3:28" x14ac:dyDescent="0.25"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98"/>
      <c r="AA65" s="68"/>
      <c r="AB65" s="68"/>
    </row>
    <row r="66" spans="3:28" x14ac:dyDescent="0.25">
      <c r="C66">
        <v>0.23899999999999999</v>
      </c>
    </row>
  </sheetData>
  <mergeCells count="85">
    <mergeCell ref="D54:D55"/>
    <mergeCell ref="A45:A46"/>
    <mergeCell ref="B45:B46"/>
    <mergeCell ref="C45:C46"/>
    <mergeCell ref="D45:D46"/>
    <mergeCell ref="A48:A49"/>
    <mergeCell ref="B48:B49"/>
    <mergeCell ref="C54:C55"/>
    <mergeCell ref="A42:A43"/>
    <mergeCell ref="B42:B43"/>
    <mergeCell ref="C42:C43"/>
    <mergeCell ref="D42:D43"/>
    <mergeCell ref="A61:C61"/>
    <mergeCell ref="A51:A52"/>
    <mergeCell ref="B51:B52"/>
    <mergeCell ref="C51:C52"/>
    <mergeCell ref="A54:A55"/>
    <mergeCell ref="B54:B55"/>
    <mergeCell ref="A60:C60"/>
    <mergeCell ref="A58:C58"/>
    <mergeCell ref="A59:C59"/>
    <mergeCell ref="C48:C49"/>
    <mergeCell ref="D48:D49"/>
    <mergeCell ref="D51:D52"/>
    <mergeCell ref="A36:A37"/>
    <mergeCell ref="B36:B37"/>
    <mergeCell ref="C36:C37"/>
    <mergeCell ref="D36:D37"/>
    <mergeCell ref="A39:A40"/>
    <mergeCell ref="B39:B40"/>
    <mergeCell ref="C39:C40"/>
    <mergeCell ref="D39:D40"/>
    <mergeCell ref="A30:A31"/>
    <mergeCell ref="B30:B31"/>
    <mergeCell ref="C30:C31"/>
    <mergeCell ref="D30:D31"/>
    <mergeCell ref="A33:A34"/>
    <mergeCell ref="B33:B34"/>
    <mergeCell ref="C33:C34"/>
    <mergeCell ref="D33:D34"/>
    <mergeCell ref="A21:A22"/>
    <mergeCell ref="B21:B22"/>
    <mergeCell ref="C21:C22"/>
    <mergeCell ref="D21:D22"/>
    <mergeCell ref="A27:A28"/>
    <mergeCell ref="B27:B28"/>
    <mergeCell ref="C27:C28"/>
    <mergeCell ref="D27:D28"/>
    <mergeCell ref="A24:A25"/>
    <mergeCell ref="B24:B25"/>
    <mergeCell ref="C24:C25"/>
    <mergeCell ref="D24:D25"/>
    <mergeCell ref="A18:A19"/>
    <mergeCell ref="B18:B19"/>
    <mergeCell ref="C18:C19"/>
    <mergeCell ref="D18:D19"/>
    <mergeCell ref="Q6:R6"/>
    <mergeCell ref="D12:D13"/>
    <mergeCell ref="A15:A16"/>
    <mergeCell ref="B15:B16"/>
    <mergeCell ref="C15:C16"/>
    <mergeCell ref="D15:D16"/>
    <mergeCell ref="U6:V6"/>
    <mergeCell ref="W6:X6"/>
    <mergeCell ref="Y6:Z6"/>
    <mergeCell ref="AA6:AB6"/>
    <mergeCell ref="E6:F6"/>
    <mergeCell ref="G6:H6"/>
    <mergeCell ref="I6:J6"/>
    <mergeCell ref="K6:L6"/>
    <mergeCell ref="M6:N6"/>
    <mergeCell ref="O6:P6"/>
    <mergeCell ref="S6:T6"/>
    <mergeCell ref="A1:D1"/>
    <mergeCell ref="A2:D2"/>
    <mergeCell ref="A3:D3"/>
    <mergeCell ref="A12:A13"/>
    <mergeCell ref="B12:B13"/>
    <mergeCell ref="C12:C13"/>
    <mergeCell ref="A5:H5"/>
    <mergeCell ref="A9:A10"/>
    <mergeCell ref="B9:B10"/>
    <mergeCell ref="C9:C10"/>
    <mergeCell ref="D9:D10"/>
    <mergeCell ref="A6:D6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1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ORÇ.</vt:lpstr>
      <vt:lpstr>CRON.</vt:lpstr>
      <vt:lpstr>CRON.!Area_de_impressao</vt:lpstr>
      <vt:lpstr>ORÇ.!Area_de_impressao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ENGENHARIA</dc:creator>
  <cp:lastModifiedBy>Admin</cp:lastModifiedBy>
  <cp:lastPrinted>2013-03-19T18:16:32Z</cp:lastPrinted>
  <dcterms:created xsi:type="dcterms:W3CDTF">2012-07-02T14:33:10Z</dcterms:created>
  <dcterms:modified xsi:type="dcterms:W3CDTF">2014-02-13T13:24:38Z</dcterms:modified>
</cp:coreProperties>
</file>