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0" yWindow="90" windowWidth="12780" windowHeight="10050" tabRatio="601"/>
  </bookViews>
  <sheets>
    <sheet name="Orçamento UFAL" sheetId="11" r:id="rId1"/>
    <sheet name="Cronograma UFAL" sheetId="8" r:id="rId2"/>
  </sheets>
  <definedNames>
    <definedName name="_MatMult_A" hidden="1">#REF!</definedName>
    <definedName name="_MatMult_AxB" hidden="1">#REF!</definedName>
    <definedName name="_MatMult_B" hidden="1">#REF!</definedName>
    <definedName name="_Parse_In" hidden="1">#REF!</definedName>
    <definedName name="_Parse_Out" hidden="1">#REF!</definedName>
    <definedName name="_xlnm.Print_Area" localSheetId="1">'Cronograma UFAL'!$A$1:$P$55</definedName>
    <definedName name="_xlnm.Print_Area" localSheetId="0">'Orçamento UFAL'!$A$1:$H$194</definedName>
    <definedName name="_xlnm.Print_Titles" localSheetId="0">'Orçamento UFAL'!$1:$6</definedName>
  </definedNames>
  <calcPr calcId="124519"/>
</workbook>
</file>

<file path=xl/calcChain.xml><?xml version="1.0" encoding="utf-8"?>
<calcChain xmlns="http://schemas.openxmlformats.org/spreadsheetml/2006/main">
  <c r="B48" i="8"/>
  <c r="A48"/>
  <c r="B45"/>
  <c r="A45"/>
  <c r="B42"/>
  <c r="A42"/>
  <c r="B39"/>
  <c r="A39"/>
  <c r="B36"/>
  <c r="A36"/>
  <c r="B33"/>
  <c r="A33"/>
  <c r="B30"/>
  <c r="A30"/>
  <c r="B27"/>
  <c r="A27"/>
  <c r="B24"/>
  <c r="A24"/>
  <c r="B21"/>
  <c r="A21"/>
  <c r="B18"/>
  <c r="A18"/>
  <c r="B15"/>
  <c r="A15"/>
  <c r="B12"/>
  <c r="A12"/>
  <c r="B9"/>
  <c r="A9"/>
  <c r="G60" i="11"/>
  <c r="R10" i="8" l="1"/>
  <c r="F117" i="11" l="1"/>
  <c r="F181"/>
  <c r="F176"/>
  <c r="F175"/>
  <c r="F173"/>
  <c r="F172"/>
  <c r="F171"/>
  <c r="F169"/>
  <c r="F168"/>
  <c r="F161" l="1"/>
  <c r="F138"/>
  <c r="F137"/>
  <c r="F126"/>
  <c r="F125"/>
  <c r="F123"/>
  <c r="F122"/>
  <c r="F100"/>
  <c r="F62"/>
  <c r="F46"/>
  <c r="F40"/>
  <c r="F36"/>
  <c r="F35"/>
  <c r="F34"/>
  <c r="F33"/>
  <c r="F20"/>
  <c r="F152" l="1"/>
  <c r="G152" s="1"/>
  <c r="F51"/>
  <c r="G51" s="1"/>
  <c r="F28"/>
  <c r="G28" s="1"/>
  <c r="F32"/>
  <c r="G32" s="1"/>
  <c r="G85"/>
  <c r="G84"/>
  <c r="G83"/>
  <c r="G77"/>
  <c r="A5" i="8"/>
  <c r="R13"/>
  <c r="R16"/>
  <c r="R19"/>
  <c r="R22"/>
  <c r="R25"/>
  <c r="R28"/>
  <c r="R31"/>
  <c r="R34"/>
  <c r="R37"/>
  <c r="R40"/>
  <c r="R43"/>
  <c r="R46"/>
  <c r="R49"/>
  <c r="G8" i="11"/>
  <c r="G9"/>
  <c r="G10"/>
  <c r="G11"/>
  <c r="G12"/>
  <c r="G13"/>
  <c r="G14"/>
  <c r="G17"/>
  <c r="G18"/>
  <c r="G19"/>
  <c r="G20"/>
  <c r="G21"/>
  <c r="G24"/>
  <c r="H23" s="1"/>
  <c r="D15" i="8" s="1"/>
  <c r="G27" i="11"/>
  <c r="G29"/>
  <c r="G33"/>
  <c r="G34"/>
  <c r="G35"/>
  <c r="G36"/>
  <c r="G37"/>
  <c r="G38"/>
  <c r="G39"/>
  <c r="G40"/>
  <c r="G41"/>
  <c r="G42"/>
  <c r="G43"/>
  <c r="G44"/>
  <c r="G45"/>
  <c r="G46"/>
  <c r="G49"/>
  <c r="G50"/>
  <c r="G54"/>
  <c r="G55"/>
  <c r="G56"/>
  <c r="G57"/>
  <c r="G58"/>
  <c r="G59"/>
  <c r="G61"/>
  <c r="G62"/>
  <c r="G63"/>
  <c r="G64"/>
  <c r="G65"/>
  <c r="G66"/>
  <c r="G67"/>
  <c r="G68"/>
  <c r="G69"/>
  <c r="G70"/>
  <c r="G71"/>
  <c r="G72"/>
  <c r="G73"/>
  <c r="G74"/>
  <c r="G75"/>
  <c r="G76"/>
  <c r="G78"/>
  <c r="G79"/>
  <c r="G80"/>
  <c r="G81"/>
  <c r="G82"/>
  <c r="G88"/>
  <c r="G89"/>
  <c r="G90"/>
  <c r="G91"/>
  <c r="G92"/>
  <c r="G93"/>
  <c r="G94"/>
  <c r="G95"/>
  <c r="G96"/>
  <c r="G97"/>
  <c r="G98"/>
  <c r="G99"/>
  <c r="G100"/>
  <c r="G102"/>
  <c r="G103"/>
  <c r="G104"/>
  <c r="G105"/>
  <c r="G106"/>
  <c r="G107"/>
  <c r="G108"/>
  <c r="G109"/>
  <c r="G110"/>
  <c r="G112"/>
  <c r="G113"/>
  <c r="G114"/>
  <c r="G115"/>
  <c r="G116"/>
  <c r="G117"/>
  <c r="G118"/>
  <c r="G121"/>
  <c r="G122"/>
  <c r="G123"/>
  <c r="G124"/>
  <c r="G125"/>
  <c r="G126"/>
  <c r="G127"/>
  <c r="G128"/>
  <c r="G129"/>
  <c r="G132"/>
  <c r="G133"/>
  <c r="G134"/>
  <c r="G135"/>
  <c r="G136"/>
  <c r="G137"/>
  <c r="G138"/>
  <c r="G141"/>
  <c r="G142"/>
  <c r="G143"/>
  <c r="G144"/>
  <c r="G145"/>
  <c r="G146"/>
  <c r="G147"/>
  <c r="G148"/>
  <c r="G149"/>
  <c r="G150"/>
  <c r="G151"/>
  <c r="G153"/>
  <c r="G156"/>
  <c r="G157"/>
  <c r="G158"/>
  <c r="G159"/>
  <c r="G160"/>
  <c r="G161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5"/>
  <c r="G186"/>
  <c r="G187"/>
  <c r="G188"/>
  <c r="H26" l="1"/>
  <c r="D18" i="8" s="1"/>
  <c r="H7" i="11"/>
  <c r="D9" i="8" s="1"/>
  <c r="H155" i="11"/>
  <c r="D42" i="8" s="1"/>
  <c r="H16" i="11"/>
  <c r="D12" i="8" s="1"/>
  <c r="H31" i="11"/>
  <c r="D21" i="8" s="1"/>
  <c r="H131" i="11"/>
  <c r="D36" i="8" s="1"/>
  <c r="H87" i="11"/>
  <c r="D30" i="8" s="1"/>
  <c r="H163" i="11"/>
  <c r="D45" i="8" s="1"/>
  <c r="H184" i="11"/>
  <c r="D48" i="8" s="1"/>
  <c r="H120" i="11"/>
  <c r="D33" i="8" s="1"/>
  <c r="H140" i="11"/>
  <c r="D39" i="8" s="1"/>
  <c r="P16"/>
  <c r="H16"/>
  <c r="J16"/>
  <c r="H53" i="11"/>
  <c r="H48"/>
  <c r="F49" i="8" l="1"/>
  <c r="P22"/>
  <c r="N19"/>
  <c r="P34"/>
  <c r="N37"/>
  <c r="L10"/>
  <c r="N40"/>
  <c r="P31"/>
  <c r="P46"/>
  <c r="P13"/>
  <c r="J31"/>
  <c r="L43"/>
  <c r="J19"/>
  <c r="L19"/>
  <c r="P37"/>
  <c r="L22"/>
  <c r="N31"/>
  <c r="N43"/>
  <c r="L31"/>
  <c r="P43"/>
  <c r="N34"/>
  <c r="N46"/>
  <c r="F13"/>
  <c r="N22"/>
  <c r="N49"/>
  <c r="J49"/>
  <c r="H13"/>
  <c r="L40"/>
  <c r="J13"/>
  <c r="L34"/>
  <c r="N10"/>
  <c r="F10"/>
  <c r="P10"/>
  <c r="L46"/>
  <c r="H190" i="11"/>
  <c r="L49" i="8"/>
  <c r="J10"/>
  <c r="N13"/>
  <c r="L13"/>
  <c r="J34"/>
  <c r="P49"/>
  <c r="H49"/>
  <c r="D27"/>
  <c r="J28" s="1"/>
  <c r="D24"/>
  <c r="P40"/>
  <c r="H51" l="1"/>
  <c r="H52" s="1"/>
  <c r="H53" s="1"/>
  <c r="L28"/>
  <c r="F51"/>
  <c r="F52" s="1"/>
  <c r="F53" s="1"/>
  <c r="F54" s="1"/>
  <c r="P28"/>
  <c r="N28"/>
  <c r="D51"/>
  <c r="J25"/>
  <c r="J51" s="1"/>
  <c r="J52" s="1"/>
  <c r="J53" s="1"/>
  <c r="N25"/>
  <c r="N51" s="1"/>
  <c r="N52" s="1"/>
  <c r="N53" s="1"/>
  <c r="P25"/>
  <c r="L25"/>
  <c r="L51" s="1"/>
  <c r="C15" l="1"/>
  <c r="C21"/>
  <c r="C39"/>
  <c r="C33"/>
  <c r="C9"/>
  <c r="C30"/>
  <c r="C12"/>
  <c r="C42"/>
  <c r="C48"/>
  <c r="C18"/>
  <c r="C36"/>
  <c r="C45"/>
  <c r="C24"/>
  <c r="C27"/>
  <c r="P51"/>
  <c r="P52" s="1"/>
  <c r="P53" s="1"/>
  <c r="D52"/>
  <c r="D54" s="1"/>
  <c r="G53" s="1"/>
  <c r="H54"/>
  <c r="L52"/>
  <c r="L53" s="1"/>
  <c r="O53" l="1"/>
  <c r="E54"/>
  <c r="I53"/>
  <c r="E53"/>
  <c r="K53"/>
  <c r="M53"/>
  <c r="J54"/>
  <c r="L54" s="1"/>
  <c r="N54" s="1"/>
  <c r="P54" s="1"/>
  <c r="G54"/>
  <c r="H191" i="11"/>
  <c r="H192" s="1"/>
  <c r="R53" i="8" l="1"/>
  <c r="I54"/>
  <c r="K54"/>
  <c r="M54" l="1"/>
  <c r="O54"/>
</calcChain>
</file>

<file path=xl/sharedStrings.xml><?xml version="1.0" encoding="utf-8"?>
<sst xmlns="http://schemas.openxmlformats.org/spreadsheetml/2006/main" count="651" uniqueCount="494">
  <si>
    <t>3.1</t>
  </si>
  <si>
    <t>m</t>
  </si>
  <si>
    <t>1.1</t>
  </si>
  <si>
    <t>1.2</t>
  </si>
  <si>
    <t>1.3</t>
  </si>
  <si>
    <t>11.</t>
  </si>
  <si>
    <t>12.</t>
  </si>
  <si>
    <t>13.</t>
  </si>
  <si>
    <t>14.</t>
  </si>
  <si>
    <t>14.1</t>
  </si>
  <si>
    <t>ITEM</t>
  </si>
  <si>
    <t>DESCRIÇÃO DO ITEM</t>
  </si>
  <si>
    <t>%</t>
  </si>
  <si>
    <t>VALOR TOTAL</t>
  </si>
  <si>
    <t>(%)</t>
  </si>
  <si>
    <t>R$</t>
  </si>
  <si>
    <t>PINTURA</t>
  </si>
  <si>
    <t>1º MÊS</t>
  </si>
  <si>
    <t>2º MÊS</t>
  </si>
  <si>
    <t>3º MÊS</t>
  </si>
  <si>
    <t>4º MÊS</t>
  </si>
  <si>
    <t>5º MÊS</t>
  </si>
  <si>
    <t>6º MÊS</t>
  </si>
  <si>
    <t xml:space="preserve">VALOR ACUMULADO </t>
  </si>
  <si>
    <t>DESCRIÇÃO  DOS SERVIÇOS</t>
  </si>
  <si>
    <t>UND</t>
  </si>
  <si>
    <t>QUANT</t>
  </si>
  <si>
    <t>SERVIÇOS PRELIMINARES</t>
  </si>
  <si>
    <t>m²</t>
  </si>
  <si>
    <t>und</t>
  </si>
  <si>
    <t>m³</t>
  </si>
  <si>
    <t>COBERTURA</t>
  </si>
  <si>
    <t>REVESTIMENTOS</t>
  </si>
  <si>
    <t>10.</t>
  </si>
  <si>
    <t>INSTALAÇÕES HIDRO-SANITÁRIAS</t>
  </si>
  <si>
    <t>MOVIMENTO DE TERRA</t>
  </si>
  <si>
    <t>ALVENARIA/VEDAÇÃO/DIVISÓRIA</t>
  </si>
  <si>
    <t>ESQUADRIAS</t>
  </si>
  <si>
    <t>SUB TOTAL</t>
  </si>
  <si>
    <t>BDI(25%)</t>
  </si>
  <si>
    <t>VALOR MENSAL</t>
  </si>
  <si>
    <t>SUPERINTENDÊNCIA DE INFRAESTRUTURA - SINFRA</t>
  </si>
  <si>
    <t>GERENCIA DE PROJETOS,OBRAS E SERVIÇOS DE ENGENHARIA - GPOS</t>
  </si>
  <si>
    <t>UNIVERSIDADE FEDERAL DE ALAGOAS - UFAL</t>
  </si>
  <si>
    <t>PREÇO TOTAL DE REFERÊNCIA</t>
  </si>
  <si>
    <t>PREÇO POR ITEM DE REFERÊNCIA</t>
  </si>
  <si>
    <t>TOTAL DE REFERÊNCIA</t>
  </si>
  <si>
    <t>Projeto executivo de instalações de combate a incêndio</t>
  </si>
  <si>
    <t xml:space="preserve">Placa de obra em chapa zincada, instalada </t>
  </si>
  <si>
    <t>CRONOGRAMA FÍSICO-FINANCEIRO</t>
  </si>
  <si>
    <r>
      <t>Projeto de "</t>
    </r>
    <r>
      <rPr>
        <i/>
        <sz val="11"/>
        <rFont val="Courier New"/>
        <family val="3"/>
      </rPr>
      <t>as built</t>
    </r>
    <r>
      <rPr>
        <sz val="11"/>
        <rFont val="Courier New"/>
        <family val="3"/>
      </rPr>
      <t>"</t>
    </r>
  </si>
  <si>
    <t>4.1</t>
  </si>
  <si>
    <t>4.4</t>
  </si>
  <si>
    <t>7.1</t>
  </si>
  <si>
    <t>9.3</t>
  </si>
  <si>
    <t>9.8</t>
  </si>
  <si>
    <t>9.9</t>
  </si>
  <si>
    <t>Quadro de medição indireta para transformadores , dim. 1,50x0,70x0,25m, exceto disjuntores</t>
  </si>
  <si>
    <t>Montagem de acessórios para subestação transformadora em poste</t>
  </si>
  <si>
    <t>11.1</t>
  </si>
  <si>
    <t>11.2</t>
  </si>
  <si>
    <t>11.3</t>
  </si>
  <si>
    <t>11.4</t>
  </si>
  <si>
    <t>11.5</t>
  </si>
  <si>
    <t>11.6</t>
  </si>
  <si>
    <t xml:space="preserve">Ponto para dreno - Split </t>
  </si>
  <si>
    <t>11.7</t>
  </si>
  <si>
    <t>11.8</t>
  </si>
  <si>
    <t>11.9</t>
  </si>
  <si>
    <t>11.11</t>
  </si>
  <si>
    <t>11.12</t>
  </si>
  <si>
    <t>11.13</t>
  </si>
  <si>
    <t>13.1</t>
  </si>
  <si>
    <t>Extintor de incêndio -PQS 4kg -fornecimento e colocação</t>
  </si>
  <si>
    <t>13.2</t>
  </si>
  <si>
    <t>13.3</t>
  </si>
  <si>
    <t>13.5</t>
  </si>
  <si>
    <t xml:space="preserve">Demarcação de piso c/ pintura de 1 demão de resina acrílica, e aplicação de micro-esferas para sinalização horizontal </t>
  </si>
  <si>
    <t>INSTALAÇÃO DE COMBATE E INCÊNDIO  E PÂNICO</t>
  </si>
  <si>
    <t>Reboco com argamassa traço 1:3(cimento e areia) e=2cm</t>
  </si>
  <si>
    <t>14.2</t>
  </si>
  <si>
    <t>14.3</t>
  </si>
  <si>
    <t xml:space="preserve">Limpeza final da obra </t>
  </si>
  <si>
    <t>4.3</t>
  </si>
  <si>
    <t>7.2</t>
  </si>
  <si>
    <t>7.3</t>
  </si>
  <si>
    <t>7.4</t>
  </si>
  <si>
    <t>8.1</t>
  </si>
  <si>
    <t>8.2</t>
  </si>
  <si>
    <t>9.1</t>
  </si>
  <si>
    <t>9.2</t>
  </si>
  <si>
    <t xml:space="preserve">Poste de concreto seção circular comprimento =7m carga nominal topo 400kg inclusive escavação, exclusive transporte </t>
  </si>
  <si>
    <t xml:space="preserve">Soleira em granilite </t>
  </si>
  <si>
    <t>1.4</t>
  </si>
  <si>
    <t>1.5</t>
  </si>
  <si>
    <t>SINAPI 74242/001</t>
  </si>
  <si>
    <t>ORSE 000051</t>
  </si>
  <si>
    <t>mês</t>
  </si>
  <si>
    <t xml:space="preserve">Suporte para transformador em poste de concreto circular  </t>
  </si>
  <si>
    <t>Aluguel de equipamentos  e materias</t>
  </si>
  <si>
    <t>SUBTOTAL</t>
  </si>
  <si>
    <t>Projeto executivo de telefonia e lógica</t>
  </si>
  <si>
    <t>Projeto executivo de SPDA</t>
  </si>
  <si>
    <t>1.6</t>
  </si>
  <si>
    <t>1.7</t>
  </si>
  <si>
    <t>(ORSE 007851)</t>
  </si>
  <si>
    <t>(SINAPI 72117)</t>
  </si>
  <si>
    <t>(SINAPI 72119)</t>
  </si>
  <si>
    <t>(ORSE 003396)</t>
  </si>
  <si>
    <t>(SINAPI 74131/007)</t>
  </si>
  <si>
    <t>Caixa de passagem em alvenaria 40x40x40</t>
  </si>
  <si>
    <t>(SINAPI 72927)</t>
  </si>
  <si>
    <t>Cordoalha de cobre nu, inclusive isoladores - 35 mm2, fornecimento e instalação</t>
  </si>
  <si>
    <t>(SINAPI 72929)</t>
  </si>
  <si>
    <t xml:space="preserve">Cordoalha de cobre nu, inclusive isoladores - 50 mm2, fornecimento e instalação </t>
  </si>
  <si>
    <t>(SINAPI 72930)</t>
  </si>
  <si>
    <t>(SINAPI 73624)</t>
  </si>
  <si>
    <t>(ORSE 03188)</t>
  </si>
  <si>
    <t>(ORSE 00323)</t>
  </si>
  <si>
    <t>(SINAPI 73783/007)</t>
  </si>
  <si>
    <t xml:space="preserve">Ponto de água fria pvc 1/2" - média 5,00m de tubo de pvc roscável água fria 1/2" e 2 joelhos de pvc roscável 90graus água fria 1/2" - fornecimento e instalação </t>
  </si>
  <si>
    <t>(SINAPI 73959/002)</t>
  </si>
  <si>
    <t>Ponto de esgoto pvc 100mm - media 1,10m de tubo pvc esgoto predial dn 100mm e 1 joelho pvc 90graus esgoto predial dn 100mm - fornecimento e instalação</t>
  </si>
  <si>
    <t>(SINAPI 73958/001)</t>
  </si>
  <si>
    <t>Ponto de esgoto com tubo de pvc rígido soldável de  Ø 40 mm - fornecimento e instalação</t>
  </si>
  <si>
    <t>(ORSE 001679)</t>
  </si>
  <si>
    <t>(ORSE 008342)</t>
  </si>
  <si>
    <t xml:space="preserve">Vaso sanitário com caixa acoplada </t>
  </si>
  <si>
    <t>SINAPI 73947/011)</t>
  </si>
  <si>
    <t xml:space="preserve">Assento para vaso sanitário de plástico - fornecimento e instalação </t>
  </si>
  <si>
    <t>Chuveiro Plástico branco comum c/ ducha e  registro de pressão</t>
  </si>
  <si>
    <t>Registro de gaveta 25mm c/ acabamento</t>
  </si>
  <si>
    <t>(ORSE 002040)</t>
  </si>
  <si>
    <t xml:space="preserve">Mictório de louça c/ pertences, registro de pressão, canopla e cj de fixação </t>
  </si>
  <si>
    <t xml:space="preserve">Porta sabonete líquido fornecimento </t>
  </si>
  <si>
    <t>Porta papel higiênico</t>
  </si>
  <si>
    <t>(ORSE 007611)</t>
  </si>
  <si>
    <t>Saboneteira de louça - chuveiro</t>
  </si>
  <si>
    <t>(SINAPI 6007)</t>
  </si>
  <si>
    <t>Ralo sifonado PVC 100x100</t>
  </si>
  <si>
    <t>(SINAPI 72685)</t>
  </si>
  <si>
    <t>Caixa de inspeção em alvenaria com tampo e fundo em concreto 60x60x60</t>
  </si>
  <si>
    <t>(SINAPI 74104/001)</t>
  </si>
  <si>
    <t>Caixa de gordura dupla</t>
  </si>
  <si>
    <t>(SINAPI 74051/001)</t>
  </si>
  <si>
    <t>(SINAPI 73775/001)</t>
  </si>
  <si>
    <t xml:space="preserve">Extintor incêndio água-pressurizada 10l incl suporte parede carga completa fornecimento e colocação </t>
  </si>
  <si>
    <t>(SINAPI 73775/002)</t>
  </si>
  <si>
    <t xml:space="preserve">Luminaria autônoma de emergência  </t>
  </si>
  <si>
    <t>(ORSE 007780)</t>
  </si>
  <si>
    <t>(ORSE 03724)</t>
  </si>
  <si>
    <t xml:space="preserve">Chapisco em paredes traco 1:4 (cimento e areia), espessura 0,5cm, preparo manual
</t>
  </si>
  <si>
    <t xml:space="preserve">Emboco traço 1:6 (cimento e areia), espessura 2,0cm, preparo manual </t>
  </si>
  <si>
    <t>(ORSE 003317)</t>
  </si>
  <si>
    <t>Regularização de piso em argamassa traço 1:3, 2cm, preparo manual</t>
  </si>
  <si>
    <t>(SINAPI 73920/001</t>
  </si>
  <si>
    <t>Piso em granilite, incluso juntas de dilatacao plasticas e polimento mecanizado</t>
  </si>
  <si>
    <t>(SINAPI 9691)</t>
  </si>
  <si>
    <t>Rodapé em granilite, altura 10cm</t>
  </si>
  <si>
    <t>(SINAPI 73850/001)</t>
  </si>
  <si>
    <t>(SINAPI 74192/001)</t>
  </si>
  <si>
    <t>(SINAPI 6067)</t>
  </si>
  <si>
    <t>Pintura esmalte acetinado em madeira, duas demãos, incluso aparelhamento com fundo nivelador branco fosco</t>
  </si>
  <si>
    <t>(SINAPI 74065/002)</t>
  </si>
  <si>
    <t>(ORSE 04275)</t>
  </si>
  <si>
    <t>(ORSE 02433)</t>
  </si>
  <si>
    <t>Placa de inauguração em aço inox escovado, chapa 22, com letras gravadas em baixo relevo - 70x50cm</t>
  </si>
  <si>
    <t xml:space="preserve">Retirada de entulho- carga, transporte e descarga mecânica até 5km </t>
  </si>
  <si>
    <t>(SINAPI 74140/002)</t>
  </si>
  <si>
    <t>(SINAPI 9537)</t>
  </si>
  <si>
    <t>Ponto de luz - (caixa, eletroduto, fios e interruptor)</t>
  </si>
  <si>
    <r>
      <t>Rede de alimentação para subestação - cabo de cobre isolado, PVC resistente a chama 450/750 V 95mm</t>
    </r>
    <r>
      <rPr>
        <sz val="11"/>
        <color indexed="8"/>
        <rFont val="Calibri"/>
        <family val="2"/>
      </rPr>
      <t>², fornecimento e instalação</t>
    </r>
  </si>
  <si>
    <t>(SINAPI 73860/016)</t>
  </si>
  <si>
    <t>(SINAPI 73635 + 73971/001)</t>
  </si>
  <si>
    <t>(ORSE 007842)</t>
  </si>
  <si>
    <t xml:space="preserve">Projeto executivo hidrossanitário </t>
  </si>
  <si>
    <t>Projeto executivo de instalações elétricas- alta e baixa tensão</t>
  </si>
  <si>
    <t>(ORSE 00059)</t>
  </si>
  <si>
    <t>2.2</t>
  </si>
  <si>
    <t xml:space="preserve">Quadro de distribuição em chapa de aço, com barramento, de embutir ou sobrepor,com porta, p/06 disjuntores </t>
  </si>
  <si>
    <t>Porta papel toalha em plástico</t>
  </si>
  <si>
    <t>(ORSE 007610)</t>
  </si>
  <si>
    <t>Piso cimentado rústico, e=3,00 cm, traco 1:4(cimento e areia),  preparo manual, incluso lastro (rampas e calçada)</t>
  </si>
  <si>
    <t>(SINAPI 74048/006 +73923/002)</t>
  </si>
  <si>
    <t>Pintura acrílica acetinada ambientes internos/externos, duas demãos (alvenaria)</t>
  </si>
  <si>
    <t>Pintura com tinta texturizada acrílica (paredes externas)</t>
  </si>
  <si>
    <t>Pintura esmalte, 2 demãos, c/ 1 demão de zarcão (grades, corrimão)</t>
  </si>
  <si>
    <t>2.1</t>
  </si>
  <si>
    <t>SINAPI 00002706</t>
  </si>
  <si>
    <t>SINAPI 00004069</t>
  </si>
  <si>
    <t>SINAPI 00006122</t>
  </si>
  <si>
    <t>SINAPI 00010508</t>
  </si>
  <si>
    <t>Engenheiro júnior - de obra (INSUMOS SINAPI) -4 horas por dia</t>
  </si>
  <si>
    <t>Mestre de obras (INSUMOS SINAPI) -8 horas por dia</t>
  </si>
  <si>
    <t>Apontador (INSUMOS SINAPI) - 8 horas por dia</t>
  </si>
  <si>
    <t>ADMINISTRAÇÃO LOCAL DA OBRA</t>
  </si>
  <si>
    <t>Vigia noturno (INSUMOS SINAPI) - 8 horas por dia - 2</t>
  </si>
  <si>
    <t>PROJETOS COMPLEMENTARES (CUB/m²)</t>
  </si>
  <si>
    <t>Barracão de obra em tabuas de madeira com escritório, alojamento, refeitório, depósitos, banheiros, cobertura em fibrocimento 4 mm, incluso instalacoes hidro-sanitarias e eletricas (reformar)</t>
  </si>
  <si>
    <t xml:space="preserve">Interdição de obra com fita de sinalização </t>
  </si>
  <si>
    <t>orse002491</t>
  </si>
  <si>
    <t xml:space="preserve">Limpesa do terreno de entorno da obra </t>
  </si>
  <si>
    <t>Alvenaria de gesso acartonado</t>
  </si>
  <si>
    <t>Revestimento com pedra palito</t>
  </si>
  <si>
    <t>(ORSE 004913)</t>
  </si>
  <si>
    <t>Piso em bloco intertravado fck=15mpa, esp=8cm-sobre cochão de areia</t>
  </si>
  <si>
    <t>(ORSE 002604)</t>
  </si>
  <si>
    <t xml:space="preserve">Porta em madeira, revestida com LPM - 0.86x2,73m,  (P2)- </t>
  </si>
  <si>
    <t xml:space="preserve">Porta em madeira, revestida com LPM - 0.86x1,80m,  (P4)- </t>
  </si>
  <si>
    <t xml:space="preserve">Porta em madeira, revestida com LPM - 0.96x2,73m,  (P3)- </t>
  </si>
  <si>
    <t xml:space="preserve">Porta em madeira, revestida com LPM - 0.96x1,80m,  (P5)- </t>
  </si>
  <si>
    <t>Janela de alumínio tipo boca de lobo (J2)</t>
  </si>
  <si>
    <t>Tipo pivotante (J1;J3;J4;J5)</t>
  </si>
  <si>
    <t>SINAPI 73809/01</t>
  </si>
  <si>
    <t>Porta em  alumínio, perfil serie 25 com folhas p/ vidros (P6, P7)</t>
  </si>
  <si>
    <t>(SINAPI 68050)</t>
  </si>
  <si>
    <t>Esquadria de aluminio p/capela</t>
  </si>
  <si>
    <t>Grade em ferro</t>
  </si>
  <si>
    <t>Esquadria fixa em vidro temperado de 8mm</t>
  </si>
  <si>
    <t>Vidro fumê de 4mm</t>
  </si>
  <si>
    <t>Acrilico p/ esquadria da capela</t>
  </si>
  <si>
    <t>Vidro fumê de 6mm</t>
  </si>
  <si>
    <t>Telhamentocom telha ceramica tipo colonial de 1ª qual.</t>
  </si>
  <si>
    <t>Impermeabilização c/manta asfáltica com 3mm de espessura + proteção mecânica (calha e laje descoberta)</t>
  </si>
  <si>
    <t>Rufo em concreto armado largura 40cm, esp. 3cm</t>
  </si>
  <si>
    <t>SINAPI 73954/002</t>
  </si>
  <si>
    <t>SINAPI 74134/002</t>
  </si>
  <si>
    <t>SINAPI 73746/001</t>
  </si>
  <si>
    <t>Pintura em parede de gesso</t>
  </si>
  <si>
    <t>Lavatório louca completo, incl. Torneira e sifão</t>
  </si>
  <si>
    <t xml:space="preserve">Cuba de louça de embutir, completa, inclusive toneira e sifão </t>
  </si>
  <si>
    <t>Cuba de aço inox com sifão e torneira p/ copa</t>
  </si>
  <si>
    <t>Cuba de aço inox com sifão e torneira p/ laboratorio</t>
  </si>
  <si>
    <t>Ducha de aço inox</t>
  </si>
  <si>
    <t>Chuveiro e ducha lava olhos c/ filtro de regulagem de vazão. Estrutura em ferro galvanizado de 1" c/ pintura epox, bacia e ducha em aço inox c/ acionamento manual</t>
  </si>
  <si>
    <t>Torneira de jardim de 3/4"</t>
  </si>
  <si>
    <t>Torneira p/capela</t>
  </si>
  <si>
    <t>SINAPI 73947/012</t>
  </si>
  <si>
    <t>Caixa sifonada em PVC 100x100x50mm simples</t>
  </si>
  <si>
    <t>Rede de alimentação de agua fria, tubo PVC 25mm, incl. Conexões</t>
  </si>
  <si>
    <t>Ligação a rede coletora-tubo pvc esgoto c/ conexões</t>
  </si>
  <si>
    <t>Caixa de areia em alvenaria 60x60x60cm</t>
  </si>
  <si>
    <t>Tubo de queda p/ aguas pluviais-100mm</t>
  </si>
  <si>
    <t>Tubo emm pvc rigido 250mm p/ aguas pluviais</t>
  </si>
  <si>
    <t>Ponto de tomada - (caixa, eletroduto, fios e tomada)-600VA</t>
  </si>
  <si>
    <t xml:space="preserve">Ponto de tomada - (caixa, eletroduto, fios e tomada)110VA </t>
  </si>
  <si>
    <t>Ponto de tomada - (caixa, eletroduto, fios e tomada)-220VA</t>
  </si>
  <si>
    <t>(ORSE 005346)</t>
  </si>
  <si>
    <t>Ponto de tomada p/ computador- (caixa, eletroduto, fios e tomada)</t>
  </si>
  <si>
    <t>Ponto de tomada p/ arcondicionado- (caixa, eletroduto, fios e tomada)</t>
  </si>
  <si>
    <t xml:space="preserve">Luminária calha de sobrepor, para lâmpada fluorescente tubular 1x20 w, inclusive reator eletrônico e lâmpada </t>
  </si>
  <si>
    <t>Led 0,2w</t>
  </si>
  <si>
    <t xml:space="preserve">Quadro de distribuição geral em chapa de aço, com barramento, de embutir ou sobrepor,com porta, para até 12 disjuntores </t>
  </si>
  <si>
    <t>(SINAPI 74130/007</t>
  </si>
  <si>
    <t>(SINAPI 74130/002)</t>
  </si>
  <si>
    <t xml:space="preserve">Disjuntor termomagnetico tripolar padrao nema (americano)até 100A 240V, fornecimento e instalação </t>
  </si>
  <si>
    <t>(SINAPI 74130/005</t>
  </si>
  <si>
    <t xml:space="preserve">Disjuntor termomagnetico tripolar padrao nema (americano)até 600A 240V, fornecimento e instalação </t>
  </si>
  <si>
    <t>Cabo de cobre isolado PVC resistente a chama 450/750, 95mm2 fornecimento e instalação, partindo do transformador para alimentação do prédio</t>
  </si>
  <si>
    <t>Canaleta de passagem dos fios p/ bancadas de laboratorios</t>
  </si>
  <si>
    <t xml:space="preserve">INSTALAÇÕES ELÉTRICAS  E SPDA        </t>
  </si>
  <si>
    <t>Transformador distribuição 150KVA trifásico 60HZ classe 15KV imerso em ólelo mineral, fornecimento e instalação</t>
  </si>
  <si>
    <t>(SINAPI 73857/003)</t>
  </si>
  <si>
    <t>Extintor de incêndio -CO2 -fornecimento e colocação</t>
  </si>
  <si>
    <t xml:space="preserve">Abrigo para hidrante, 75X45X17cm, com registro globo angular 45º 2.1/2", adaptador storz 2.1/2", mang. de incêndio 15m, redução 2.1/2X1. 1/2" e esguicho em latão 1.1/2" -  fornec. e instalação </t>
  </si>
  <si>
    <t>13.4</t>
  </si>
  <si>
    <t>Rede de alimentação de água fria, tubo de aço galv. c/ costura 3"(80mm), incl. conexões, fornecimento e instalação  (hidrante)</t>
  </si>
  <si>
    <t>INSTALAÇÕES ESPECIAIS</t>
  </si>
  <si>
    <t>Ponto de vácuo</t>
  </si>
  <si>
    <t>Ponto de ar comprimido</t>
  </si>
  <si>
    <t>14.4</t>
  </si>
  <si>
    <t>Registro p/ gás (ORSE01455)</t>
  </si>
  <si>
    <t>Registro p/ ar comprimido</t>
  </si>
  <si>
    <t>Registro p/ vácuo</t>
  </si>
  <si>
    <t>ORSE 2346</t>
  </si>
  <si>
    <t>ORSE 1455</t>
  </si>
  <si>
    <t>ORSE 7777</t>
  </si>
  <si>
    <t>ORSE 1359</t>
  </si>
  <si>
    <t>ORSE 1360</t>
  </si>
  <si>
    <t>ORÇAMENTO BÁSICO ESTIMATIVO PARA CONCLUSÃO DA ESENFAR - CAMPUS MACEIÓ/UFAL</t>
  </si>
  <si>
    <t>DIVERSOS</t>
  </si>
  <si>
    <t>Barra paralela em aço inox de 4cm p/ P5</t>
  </si>
  <si>
    <t>Assento articulado em PVC - tubular p/ wc de deficiente</t>
  </si>
  <si>
    <t>Banco em concreto com acabamento liso/ desempolado</t>
  </si>
  <si>
    <t>Bancada em granito cinza andorinha, e = 2cm, larg=0,60 (ORSE-005051)</t>
  </si>
  <si>
    <t>Testeira em granito p/ bancada da capela</t>
  </si>
  <si>
    <t>Armário sob bancada em granito (MDF+LPM)</t>
  </si>
  <si>
    <t>Armário suspenso</t>
  </si>
  <si>
    <t>Estrutura de granito sobre bancada de laboratório</t>
  </si>
  <si>
    <t>Duto de exaustão em PVC rígido d= 150mm (ORSE 01528)</t>
  </si>
  <si>
    <t>Chapéu Chinês galvanizado</t>
  </si>
  <si>
    <t>Coifa/Exaustor inox</t>
  </si>
  <si>
    <t>2.3</t>
  </si>
  <si>
    <t>2.4</t>
  </si>
  <si>
    <t>2.5</t>
  </si>
  <si>
    <t>SINAPI 73965/010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</si>
  <si>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</si>
  <si>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</si>
  <si>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</si>
  <si>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</si>
  <si>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</si>
  <si>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</si>
  <si>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</si>
  <si>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</si>
  <si>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</si>
  <si>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</si>
  <si>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</si>
  <si>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Ponto de esgoto com tubo de pvc rígido soldável de  Ø 50 mm - fornecimento e instalação</t>
  </si>
  <si>
    <t>Letreiro de identificação  em aço inox escovado - h= 40cm (ESENFAR)</t>
  </si>
  <si>
    <t>(SINAPI 73947/002</t>
  </si>
  <si>
    <t>(SINAPI 74230/001</t>
  </si>
  <si>
    <t>(SINAPI 74234/001</t>
  </si>
  <si>
    <t>(SINAPI 73928/001</t>
  </si>
  <si>
    <t>(SINAPI 73927/005</t>
  </si>
  <si>
    <t>Barra de apoio para deficiente, em tubo de ferro galvanizado de 1 1/4", com l = 0,90m, inclusive pintura</t>
  </si>
  <si>
    <t>9.4</t>
  </si>
  <si>
    <t>9.5</t>
  </si>
  <si>
    <t>9.6</t>
  </si>
  <si>
    <t>9.7</t>
  </si>
  <si>
    <t>(SINAPI 73935/001</t>
  </si>
  <si>
    <t>Alvenaria em tij. ceramico furado 10x20x20cm, 1/2 vez assentado em argamassa 1:6</t>
  </si>
  <si>
    <t>Projeto executivo de instalações especiais(vacuo, ar comprimido e gás)</t>
  </si>
  <si>
    <t>Cordoalha de cobre nu, inclusive isoladores - 16 mm2, fornecimento e instalação</t>
  </si>
  <si>
    <t xml:space="preserve">Emassamento com massa acrílica ambientes internos/externos, duas demãos  </t>
  </si>
  <si>
    <t>Escavação manual de vala, prof. até 1,50m (inst. hidrosanitaria e aguas pluviais)</t>
  </si>
  <si>
    <t>Vidro incolor 4mm (visor da P1)</t>
  </si>
  <si>
    <t xml:space="preserve">Luminária comercial, para lâmpada fluorescente tubular 2 x 32 w, inclusive reator eletrônico e lâmpada </t>
  </si>
  <si>
    <t>(ORSE 000673)</t>
  </si>
  <si>
    <t>Interruptor simples- 1 tecla fornecimento e instalaçpão</t>
  </si>
  <si>
    <t>(SINAPI 72331</t>
  </si>
  <si>
    <t>Interruptor simples- 2 tecla fornecimento e instalaçpão</t>
  </si>
  <si>
    <t>(SINAPI 72332</t>
  </si>
  <si>
    <t>Interruptor simples- 3 tecla fornecimento e instalaçpão</t>
  </si>
  <si>
    <t>Ponto de tomada p/ telefone com tomada padrão TELEBRAS em caixa PVC rigida e fiação</t>
  </si>
  <si>
    <t xml:space="preserve">Disjuntor termomagnetico monopolar padrao nema (americano)240V, forn. e instalação </t>
  </si>
  <si>
    <t>Cabo de cobre nu 16mm²</t>
  </si>
  <si>
    <t>(SINAPI 72251</t>
  </si>
  <si>
    <t xml:space="preserve">Haste de aterramento com conector </t>
  </si>
  <si>
    <t>Cerâmico esmaltada em paredes 1A, 30 x 30cm, , rejuntado</t>
  </si>
  <si>
    <t>Cerâmico esmaltada em paredes 1A, 5 X 5cm, , rejuntado</t>
  </si>
  <si>
    <t>Cerâmico esmaltada em paredes 1A, 10 X 10cm, , rejuntado</t>
  </si>
  <si>
    <t xml:space="preserve">Porta em madeira, revestida com LPM -p/ visor 0.86x2,73m  P1 -  </t>
  </si>
  <si>
    <t>SINAPI-73910/07+7100+73905/01</t>
  </si>
  <si>
    <t>8.3</t>
  </si>
  <si>
    <t>ORSE 03831+01979</t>
  </si>
  <si>
    <t>ORSE 003831</t>
  </si>
  <si>
    <t>pt</t>
  </si>
  <si>
    <t>11.10</t>
  </si>
  <si>
    <t>Ponto de gás c/ tubo de cobre flexível 1/4"</t>
  </si>
  <si>
    <t>Tuboo de cobre flexível p/ gás d=1/4"</t>
  </si>
  <si>
    <t>Tubo de cobre aparente p/ ar comprimido, d=1/2"</t>
  </si>
  <si>
    <t xml:space="preserve">Tubo de cobre aparente p/ vácuo,d=1/2" </t>
  </si>
  <si>
    <t>13.6</t>
  </si>
  <si>
    <t>13.7</t>
  </si>
  <si>
    <t>SINAPI  72554</t>
  </si>
  <si>
    <t>(ORSE 004387 )</t>
  </si>
  <si>
    <t xml:space="preserve">Espelho 7mm fixo c/ botões de aço inox </t>
  </si>
  <si>
    <t>(ORSE01890)</t>
  </si>
  <si>
    <t>orse 4898</t>
  </si>
  <si>
    <t>Bancada em concreto p/ capela</t>
  </si>
  <si>
    <t>(SINAPI 74126/002</t>
  </si>
  <si>
    <t>(ORSE 00803)</t>
  </si>
  <si>
    <t>Perfil em alumínio paras cantos de parede</t>
  </si>
  <si>
    <t>(ORSE 03930)</t>
  </si>
  <si>
    <t>(ORSE 00005)</t>
  </si>
  <si>
    <t>(SINAPI 83366</t>
  </si>
  <si>
    <t xml:space="preserve">Alvenaria de gesso acartonado com lã de vidro                                                                                               </t>
  </si>
  <si>
    <t>(ORSE 001881 )</t>
  </si>
  <si>
    <t>(ORSE 001882    )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</si>
  <si>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</si>
  <si>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</si>
  <si>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</si>
  <si>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</si>
  <si>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</si>
  <si>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</si>
  <si>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</si>
  <si>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</si>
  <si>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</si>
  <si>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</si>
  <si>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</si>
  <si>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</si>
  <si>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</si>
  <si>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</si>
  <si>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</si>
  <si>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6.1</t>
  </si>
  <si>
    <t>6.2</t>
  </si>
  <si>
    <t>6.3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</si>
  <si>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</si>
  <si>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</si>
  <si>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</si>
  <si>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</si>
  <si>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</si>
  <si>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</si>
  <si>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</si>
  <si>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</si>
  <si>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</si>
  <si>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</si>
  <si>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</si>
  <si>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</si>
  <si>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</si>
  <si>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</si>
  <si>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</si>
  <si>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</si>
  <si>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</si>
  <si>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ORSE  000675</t>
  </si>
  <si>
    <t>ORSE  003397</t>
  </si>
  <si>
    <t>ORSE 00640</t>
  </si>
  <si>
    <t>ORSE  00644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</si>
  <si>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</si>
  <si>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</si>
  <si>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</si>
  <si>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</si>
  <si>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</si>
  <si>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</si>
  <si>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</si>
  <si>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</si>
  <si>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</si>
  <si>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</si>
  <si>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</si>
  <si>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</si>
  <si>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</si>
  <si>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</si>
  <si>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</si>
  <si>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</si>
  <si>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</si>
  <si>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</si>
  <si>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</si>
  <si>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</si>
  <si>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</si>
  <si>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</si>
  <si>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</si>
  <si>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</si>
  <si>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</si>
  <si>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</si>
  <si>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</si>
  <si>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</si>
  <si>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9.</t>
  </si>
  <si>
    <t>10.1</t>
  </si>
  <si>
    <t>10.2</t>
  </si>
  <si>
    <t>10.3</t>
  </si>
  <si>
    <t>10.4</t>
  </si>
  <si>
    <t>10.5</t>
  </si>
  <si>
    <t>10.6</t>
  </si>
  <si>
    <t>10.7</t>
  </si>
  <si>
    <t>12.1</t>
  </si>
  <si>
    <t>12.2</t>
  </si>
  <si>
    <t>12.3</t>
  </si>
  <si>
    <t>12.4</t>
  </si>
  <si>
    <t>12.5</t>
  </si>
  <si>
    <t>12.6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</si>
  <si>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</si>
  <si>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</si>
  <si>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</si>
  <si>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</si>
  <si>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</si>
  <si>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</si>
  <si>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</si>
  <si>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</si>
  <si>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</si>
  <si>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</si>
  <si>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</si>
  <si>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</si>
  <si>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BDI (25%)</t>
  </si>
  <si>
    <t>PREÇO UNIT.  REFERÊNCIA</t>
  </si>
  <si>
    <t>(ORSE 3578)</t>
  </si>
  <si>
    <t>(ORSE 7242)</t>
  </si>
  <si>
    <t>(SINAPI 74108/001)</t>
  </si>
  <si>
    <t>ORSE 6338</t>
  </si>
  <si>
    <t>SINAPI 72286</t>
  </si>
  <si>
    <t>SINAPI 72292</t>
  </si>
  <si>
    <t>SINAPI 73949/002</t>
  </si>
  <si>
    <t>SINAPI 73956/001</t>
  </si>
  <si>
    <t>ORSE 002022</t>
  </si>
  <si>
    <t>ORSE 03710</t>
  </si>
  <si>
    <t>ORSE 4768</t>
  </si>
  <si>
    <t>ORSE 00885</t>
  </si>
  <si>
    <t>ORSE 003766</t>
  </si>
  <si>
    <t>SINAPI 73953/001</t>
  </si>
  <si>
    <t>ORSE 3403</t>
  </si>
  <si>
    <t>ORSE 00488</t>
  </si>
  <si>
    <t>SINAPI 74098/001</t>
  </si>
  <si>
    <t>SINAPI 73938/001</t>
  </si>
  <si>
    <t>SINAPI 73932/001</t>
  </si>
  <si>
    <t>SINAPI 73911/001</t>
  </si>
  <si>
    <t>ORSE 07993</t>
  </si>
  <si>
    <t>1.</t>
  </si>
  <si>
    <t>2.</t>
  </si>
  <si>
    <t>3.</t>
  </si>
  <si>
    <t>4.</t>
  </si>
  <si>
    <t>5.</t>
  </si>
  <si>
    <t>6.</t>
  </si>
  <si>
    <t>7.</t>
  </si>
  <si>
    <t>8.</t>
  </si>
  <si>
    <t>Maceió, 29 de Maio de 2013.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</si>
</sst>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#.##000"/>
    <numFmt numFmtId="166" formatCode="#,##0.00;[Red]#,##0.00"/>
    <numFmt numFmtId="167" formatCode="_(* #,##0.00_);_(* \(#,##0.00\);_(* \-??_);_(@_)"/>
    <numFmt numFmtId="168" formatCode="0.0%"/>
  </numFmts>
  <fonts count="47">
    <font>
      <sz val="10"/>
      <name val="Courie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ourier New"/>
      <family val="3"/>
    </font>
    <font>
      <i/>
      <sz val="11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color indexed="8"/>
      <name val="Courier New"/>
      <family val="3"/>
    </font>
    <font>
      <sz val="10"/>
      <name val="Courier"/>
      <family val="3"/>
    </font>
    <font>
      <sz val="10"/>
      <name val="Courier"/>
      <family val="3"/>
    </font>
    <font>
      <b/>
      <sz val="10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4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theme="1"/>
      <name val="Courier New"/>
      <family val="3"/>
    </font>
    <font>
      <b/>
      <i/>
      <sz val="18"/>
      <color theme="1"/>
      <name val="Calibri"/>
      <family val="2"/>
      <scheme val="minor"/>
    </font>
    <font>
      <sz val="11"/>
      <color rgb="FFFF0000"/>
      <name val="Courier New"/>
      <family val="3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theme="1"/>
      <name val="Arial"/>
      <family val="2"/>
    </font>
    <font>
      <sz val="11"/>
      <color rgb="FF0070C0"/>
      <name val="Courier New"/>
      <family val="3"/>
    </font>
    <font>
      <sz val="12"/>
      <color rgb="FF0070C0"/>
      <name val="Calibri"/>
      <family val="2"/>
      <scheme val="minor"/>
    </font>
    <font>
      <sz val="11"/>
      <color rgb="FF0070C0"/>
      <name val="Arial"/>
      <family val="2"/>
    </font>
    <font>
      <sz val="10"/>
      <color rgb="FF0070C0"/>
      <name val="Tahoma"/>
      <family val="2"/>
    </font>
    <font>
      <b/>
      <sz val="12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4">
    <xf numFmtId="39" fontId="0" fillId="0" borderId="0"/>
    <xf numFmtId="0" fontId="3" fillId="0" borderId="0"/>
    <xf numFmtId="0" fontId="1" fillId="0" borderId="0"/>
    <xf numFmtId="44" fontId="11" fillId="0" borderId="0" applyFont="0" applyFill="0" applyBorder="0" applyAlignment="0" applyProtection="0"/>
    <xf numFmtId="0" fontId="15" fillId="0" borderId="0"/>
    <xf numFmtId="0" fontId="15" fillId="0" borderId="0"/>
    <xf numFmtId="0" fontId="2" fillId="0" borderId="0"/>
    <xf numFmtId="39" fontId="8" fillId="0" borderId="0"/>
    <xf numFmtId="0" fontId="3" fillId="0" borderId="0"/>
    <xf numFmtId="9" fontId="3" fillId="0" borderId="0" applyFont="0" applyFill="0" applyBorder="0" applyAlignment="0" applyProtection="0"/>
    <xf numFmtId="9" fontId="1" fillId="0" borderId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52">
    <xf numFmtId="39" fontId="0" fillId="0" borderId="0" xfId="0"/>
    <xf numFmtId="39" fontId="16" fillId="0" borderId="0" xfId="4" applyNumberFormat="1" applyFont="1" applyFill="1" applyBorder="1" applyAlignment="1" applyProtection="1">
      <alignment horizontal="left" vertical="center"/>
      <protection hidden="1"/>
    </xf>
    <xf numFmtId="0" fontId="17" fillId="0" borderId="0" xfId="4" applyFont="1" applyFill="1" applyBorder="1" applyAlignment="1" applyProtection="1">
      <alignment vertical="center"/>
      <protection hidden="1"/>
    </xf>
    <xf numFmtId="0" fontId="17" fillId="0" borderId="0" xfId="4" applyFont="1" applyFill="1" applyBorder="1" applyAlignment="1" applyProtection="1">
      <alignment horizontal="center" vertical="center"/>
      <protection hidden="1"/>
    </xf>
    <xf numFmtId="164" fontId="17" fillId="0" borderId="0" xfId="11" applyFont="1" applyFill="1" applyBorder="1" applyAlignment="1" applyProtection="1">
      <alignment vertical="center"/>
      <protection hidden="1"/>
    </xf>
    <xf numFmtId="4" fontId="17" fillId="0" borderId="0" xfId="11" applyNumberFormat="1" applyFont="1" applyFill="1" applyBorder="1" applyAlignment="1" applyProtection="1">
      <alignment vertical="center"/>
      <protection hidden="1"/>
    </xf>
    <xf numFmtId="0" fontId="17" fillId="0" borderId="0" xfId="4" applyFont="1" applyFill="1" applyBorder="1" applyAlignment="1" applyProtection="1">
      <alignment horizontal="right" vertical="center"/>
      <protection hidden="1"/>
    </xf>
    <xf numFmtId="0" fontId="18" fillId="0" borderId="0" xfId="4" applyFont="1" applyFill="1" applyBorder="1" applyAlignment="1" applyProtection="1">
      <alignment vertical="center"/>
      <protection hidden="1"/>
    </xf>
    <xf numFmtId="39" fontId="19" fillId="0" borderId="0" xfId="4" applyNumberFormat="1" applyFont="1" applyFill="1" applyBorder="1" applyAlignment="1" applyProtection="1">
      <alignment horizontal="center" vertical="center"/>
      <protection hidden="1"/>
    </xf>
    <xf numFmtId="39" fontId="17" fillId="0" borderId="0" xfId="0" applyFont="1" applyFill="1" applyBorder="1" applyAlignment="1" applyProtection="1">
      <alignment vertical="center"/>
      <protection hidden="1"/>
    </xf>
    <xf numFmtId="39" fontId="16" fillId="0" borderId="0" xfId="0" applyFont="1" applyFill="1" applyBorder="1" applyAlignment="1" applyProtection="1">
      <alignment vertical="center"/>
      <protection hidden="1"/>
    </xf>
    <xf numFmtId="0" fontId="16" fillId="0" borderId="0" xfId="4" applyFont="1" applyFill="1" applyBorder="1" applyAlignment="1" applyProtection="1">
      <alignment horizontal="center" vertical="center"/>
      <protection hidden="1"/>
    </xf>
    <xf numFmtId="0" fontId="16" fillId="0" borderId="0" xfId="4" applyFont="1" applyFill="1" applyBorder="1" applyAlignment="1" applyProtection="1">
      <alignment horizontal="center" vertical="center" wrapText="1"/>
      <protection hidden="1"/>
    </xf>
    <xf numFmtId="0" fontId="18" fillId="0" borderId="0" xfId="4" applyFont="1" applyFill="1" applyBorder="1" applyAlignment="1" applyProtection="1">
      <alignment horizontal="center" vertical="center"/>
      <protection hidden="1"/>
    </xf>
    <xf numFmtId="164" fontId="21" fillId="2" borderId="1" xfId="11" applyFont="1" applyFill="1" applyBorder="1" applyAlignment="1" applyProtection="1">
      <alignment horizontal="right" vertical="center"/>
      <protection hidden="1"/>
    </xf>
    <xf numFmtId="0" fontId="18" fillId="2" borderId="0" xfId="4" applyFont="1" applyFill="1" applyBorder="1" applyAlignment="1" applyProtection="1">
      <alignment vertical="center"/>
      <protection hidden="1"/>
    </xf>
    <xf numFmtId="0" fontId="22" fillId="0" borderId="0" xfId="4" applyFont="1" applyFill="1" applyBorder="1" applyAlignment="1" applyProtection="1">
      <alignment vertical="center"/>
      <protection hidden="1"/>
    </xf>
    <xf numFmtId="39" fontId="23" fillId="0" borderId="0" xfId="4" applyNumberFormat="1" applyFont="1" applyFill="1" applyBorder="1" applyAlignment="1" applyProtection="1">
      <alignment horizontal="left" vertical="center"/>
      <protection hidden="1"/>
    </xf>
    <xf numFmtId="0" fontId="24" fillId="0" borderId="0" xfId="4" applyFont="1" applyFill="1" applyBorder="1" applyAlignment="1" applyProtection="1">
      <alignment vertical="center"/>
      <protection hidden="1"/>
    </xf>
    <xf numFmtId="0" fontId="24" fillId="0" borderId="0" xfId="4" applyFont="1" applyFill="1" applyBorder="1" applyAlignment="1" applyProtection="1">
      <alignment horizontal="center" vertical="center"/>
      <protection hidden="1"/>
    </xf>
    <xf numFmtId="164" fontId="24" fillId="0" borderId="0" xfId="11" applyFont="1" applyFill="1" applyBorder="1" applyAlignment="1" applyProtection="1">
      <alignment vertical="center"/>
      <protection hidden="1"/>
    </xf>
    <xf numFmtId="4" fontId="24" fillId="0" borderId="0" xfId="11" applyNumberFormat="1" applyFont="1" applyFill="1" applyBorder="1" applyAlignment="1" applyProtection="1">
      <alignment vertical="center"/>
      <protection hidden="1"/>
    </xf>
    <xf numFmtId="0" fontId="24" fillId="0" borderId="0" xfId="4" applyFont="1" applyFill="1" applyBorder="1" applyAlignment="1" applyProtection="1">
      <alignment horizontal="right" vertical="center"/>
      <protection hidden="1"/>
    </xf>
    <xf numFmtId="10" fontId="24" fillId="0" borderId="0" xfId="9" applyNumberFormat="1" applyFont="1" applyFill="1" applyBorder="1" applyAlignment="1" applyProtection="1">
      <alignment vertical="center"/>
      <protection hidden="1"/>
    </xf>
    <xf numFmtId="0" fontId="15" fillId="0" borderId="0" xfId="4" applyFont="1" applyFill="1" applyBorder="1" applyAlignment="1" applyProtection="1">
      <alignment vertical="center"/>
      <protection hidden="1"/>
    </xf>
    <xf numFmtId="39" fontId="25" fillId="0" borderId="0" xfId="4" applyNumberFormat="1" applyFont="1" applyFill="1" applyBorder="1" applyAlignment="1" applyProtection="1">
      <alignment vertical="center"/>
      <protection hidden="1"/>
    </xf>
    <xf numFmtId="39" fontId="25" fillId="0" borderId="0" xfId="4" applyNumberFormat="1" applyFont="1" applyFill="1" applyBorder="1" applyAlignment="1" applyProtection="1">
      <alignment horizontal="center" vertical="center"/>
      <protection hidden="1"/>
    </xf>
    <xf numFmtId="39" fontId="26" fillId="0" borderId="0" xfId="4" applyNumberFormat="1" applyFont="1" applyFill="1" applyBorder="1" applyAlignment="1" applyProtection="1">
      <alignment vertical="center"/>
      <protection hidden="1"/>
    </xf>
    <xf numFmtId="0" fontId="26" fillId="0" borderId="0" xfId="4" applyFont="1" applyFill="1" applyBorder="1" applyAlignment="1" applyProtection="1">
      <alignment vertical="center"/>
      <protection hidden="1"/>
    </xf>
    <xf numFmtId="39" fontId="27" fillId="3" borderId="0" xfId="0" applyNumberFormat="1" applyFont="1" applyFill="1" applyAlignment="1" applyProtection="1">
      <alignment vertical="center"/>
      <protection hidden="1"/>
    </xf>
    <xf numFmtId="39" fontId="27" fillId="3" borderId="3" xfId="0" applyNumberFormat="1" applyFont="1" applyFill="1" applyBorder="1" applyAlignment="1" applyProtection="1">
      <alignment horizontal="center" vertical="center"/>
      <protection hidden="1"/>
    </xf>
    <xf numFmtId="39" fontId="27" fillId="3" borderId="4" xfId="0" applyNumberFormat="1" applyFont="1" applyFill="1" applyBorder="1" applyAlignment="1" applyProtection="1">
      <alignment horizontal="center" vertical="center" wrapText="1"/>
      <protection hidden="1"/>
    </xf>
    <xf numFmtId="9" fontId="27" fillId="3" borderId="4" xfId="0" applyNumberFormat="1" applyFont="1" applyFill="1" applyBorder="1" applyAlignment="1" applyProtection="1">
      <alignment horizontal="center" vertical="center"/>
      <protection hidden="1"/>
    </xf>
    <xf numFmtId="164" fontId="27" fillId="3" borderId="5" xfId="13" applyFont="1" applyFill="1" applyBorder="1" applyAlignment="1" applyProtection="1">
      <alignment horizontal="center" vertical="center"/>
      <protection hidden="1"/>
    </xf>
    <xf numFmtId="9" fontId="27" fillId="3" borderId="6" xfId="0" applyNumberFormat="1" applyFont="1" applyFill="1" applyBorder="1" applyAlignment="1" applyProtection="1">
      <alignment horizontal="center" vertical="center"/>
      <protection hidden="1"/>
    </xf>
    <xf numFmtId="164" fontId="27" fillId="3" borderId="7" xfId="13" applyFont="1" applyFill="1" applyBorder="1" applyAlignment="1" applyProtection="1">
      <alignment horizontal="center" vertical="center"/>
      <protection hidden="1"/>
    </xf>
    <xf numFmtId="165" fontId="27" fillId="3" borderId="4" xfId="0" applyNumberFormat="1" applyFont="1" applyFill="1" applyBorder="1" applyAlignment="1" applyProtection="1">
      <alignment horizontal="center" vertical="center"/>
      <protection hidden="1"/>
    </xf>
    <xf numFmtId="165" fontId="27" fillId="3" borderId="7" xfId="0" applyNumberFormat="1" applyFont="1" applyFill="1" applyBorder="1" applyAlignment="1" applyProtection="1">
      <alignment horizontal="center" vertical="center"/>
      <protection hidden="1"/>
    </xf>
    <xf numFmtId="39" fontId="27" fillId="0" borderId="8" xfId="0" applyNumberFormat="1" applyFont="1" applyFill="1" applyBorder="1" applyAlignment="1" applyProtection="1">
      <alignment horizontal="center" vertical="center"/>
      <protection hidden="1"/>
    </xf>
    <xf numFmtId="39" fontId="27" fillId="0" borderId="9" xfId="0" applyNumberFormat="1" applyFont="1" applyFill="1" applyBorder="1" applyAlignment="1" applyProtection="1">
      <alignment horizontal="center" vertical="center"/>
      <protection hidden="1"/>
    </xf>
    <xf numFmtId="9" fontId="27" fillId="0" borderId="9" xfId="0" applyNumberFormat="1" applyFont="1" applyFill="1" applyBorder="1" applyAlignment="1" applyProtection="1">
      <alignment horizontal="center" vertical="center"/>
      <protection hidden="1"/>
    </xf>
    <xf numFmtId="39" fontId="27" fillId="0" borderId="10" xfId="0" applyNumberFormat="1" applyFont="1" applyFill="1" applyBorder="1" applyAlignment="1" applyProtection="1">
      <alignment horizontal="center" vertical="center"/>
      <protection hidden="1"/>
    </xf>
    <xf numFmtId="164" fontId="23" fillId="0" borderId="9" xfId="13" applyFont="1" applyFill="1" applyBorder="1" applyAlignment="1" applyProtection="1">
      <alignment horizontal="center" vertical="center"/>
      <protection hidden="1"/>
    </xf>
    <xf numFmtId="9" fontId="23" fillId="0" borderId="9" xfId="0" applyNumberFormat="1" applyFont="1" applyFill="1" applyBorder="1" applyAlignment="1" applyProtection="1">
      <alignment horizontal="center" vertical="center"/>
      <protection hidden="1"/>
    </xf>
    <xf numFmtId="4" fontId="23" fillId="0" borderId="9" xfId="0" applyNumberFormat="1" applyFont="1" applyFill="1" applyBorder="1" applyAlignment="1" applyProtection="1">
      <alignment horizontal="center" vertical="center"/>
      <protection hidden="1"/>
    </xf>
    <xf numFmtId="39" fontId="23" fillId="0" borderId="0" xfId="0" applyNumberFormat="1" applyFont="1" applyFill="1" applyBorder="1" applyAlignment="1" applyProtection="1">
      <alignment vertical="center"/>
      <protection hidden="1"/>
    </xf>
    <xf numFmtId="0" fontId="28" fillId="0" borderId="11" xfId="13" applyNumberFormat="1" applyFont="1" applyFill="1" applyBorder="1" applyAlignment="1" applyProtection="1">
      <alignment horizontal="center" vertical="center" wrapText="1"/>
      <protection hidden="1"/>
    </xf>
    <xf numFmtId="0" fontId="28" fillId="0" borderId="12" xfId="13" applyNumberFormat="1" applyFont="1" applyFill="1" applyBorder="1" applyAlignment="1" applyProtection="1">
      <alignment horizontal="center" vertical="center" wrapText="1"/>
      <protection hidden="1"/>
    </xf>
    <xf numFmtId="0" fontId="28" fillId="0" borderId="13" xfId="13" applyNumberFormat="1" applyFont="1" applyFill="1" applyBorder="1" applyAlignment="1" applyProtection="1">
      <alignment horizontal="center" vertical="center" wrapText="1"/>
      <protection hidden="1"/>
    </xf>
    <xf numFmtId="0" fontId="28" fillId="0" borderId="14" xfId="13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NumberFormat="1" applyFont="1" applyFill="1" applyAlignment="1" applyProtection="1">
      <alignment vertical="center"/>
      <protection hidden="1"/>
    </xf>
    <xf numFmtId="164" fontId="23" fillId="0" borderId="12" xfId="13" applyFont="1" applyFill="1" applyBorder="1" applyAlignment="1" applyProtection="1">
      <alignment horizontal="right" vertical="center"/>
      <protection hidden="1"/>
    </xf>
    <xf numFmtId="164" fontId="23" fillId="0" borderId="14" xfId="13" applyFont="1" applyFill="1" applyBorder="1" applyAlignment="1" applyProtection="1">
      <alignment horizontal="right" vertical="center"/>
      <protection hidden="1"/>
    </xf>
    <xf numFmtId="39" fontId="23" fillId="0" borderId="0" xfId="0" applyNumberFormat="1" applyFont="1" applyFill="1" applyAlignment="1" applyProtection="1">
      <alignment vertical="center"/>
      <protection hidden="1"/>
    </xf>
    <xf numFmtId="39" fontId="27" fillId="0" borderId="15" xfId="0" applyNumberFormat="1" applyFont="1" applyFill="1" applyBorder="1" applyAlignment="1" applyProtection="1">
      <alignment horizontal="right" vertical="center"/>
      <protection hidden="1"/>
    </xf>
    <xf numFmtId="39" fontId="27" fillId="0" borderId="16" xfId="0" applyNumberFormat="1" applyFont="1" applyFill="1" applyBorder="1" applyAlignment="1" applyProtection="1">
      <alignment horizontal="center" vertical="center"/>
      <protection hidden="1"/>
    </xf>
    <xf numFmtId="10" fontId="27" fillId="0" borderId="16" xfId="0" applyNumberFormat="1" applyFont="1" applyFill="1" applyBorder="1" applyAlignment="1" applyProtection="1">
      <alignment horizontal="center" vertical="center"/>
      <protection hidden="1"/>
    </xf>
    <xf numFmtId="9" fontId="23" fillId="0" borderId="16" xfId="0" applyNumberFormat="1" applyFont="1" applyFill="1" applyBorder="1" applyAlignment="1" applyProtection="1">
      <alignment horizontal="right" vertical="center"/>
      <protection hidden="1"/>
    </xf>
    <xf numFmtId="164" fontId="23" fillId="0" borderId="16" xfId="13" applyFont="1" applyFill="1" applyBorder="1" applyAlignment="1" applyProtection="1">
      <alignment horizontal="right" vertical="center"/>
      <protection hidden="1"/>
    </xf>
    <xf numFmtId="4" fontId="23" fillId="0" borderId="16" xfId="0" applyNumberFormat="1" applyFont="1" applyFill="1" applyBorder="1" applyAlignment="1" applyProtection="1">
      <alignment horizontal="right" vertical="center"/>
      <protection hidden="1"/>
    </xf>
    <xf numFmtId="4" fontId="23" fillId="0" borderId="17" xfId="0" applyNumberFormat="1" applyFont="1" applyFill="1" applyBorder="1" applyAlignment="1" applyProtection="1">
      <alignment horizontal="right" vertical="center"/>
      <protection hidden="1"/>
    </xf>
    <xf numFmtId="39" fontId="27" fillId="0" borderId="18" xfId="0" applyNumberFormat="1" applyFont="1" applyFill="1" applyBorder="1" applyAlignment="1" applyProtection="1">
      <alignment horizontal="right" vertical="center"/>
      <protection hidden="1"/>
    </xf>
    <xf numFmtId="39" fontId="27" fillId="0" borderId="19" xfId="0" applyNumberFormat="1" applyFont="1" applyFill="1" applyBorder="1" applyAlignment="1" applyProtection="1">
      <alignment horizontal="center" vertical="center"/>
      <protection hidden="1"/>
    </xf>
    <xf numFmtId="10" fontId="27" fillId="0" borderId="19" xfId="0" applyNumberFormat="1" applyFont="1" applyFill="1" applyBorder="1" applyAlignment="1" applyProtection="1">
      <alignment horizontal="center" vertical="center"/>
      <protection hidden="1"/>
    </xf>
    <xf numFmtId="39" fontId="27" fillId="0" borderId="9" xfId="0" applyNumberFormat="1" applyFont="1" applyFill="1" applyBorder="1" applyAlignment="1" applyProtection="1">
      <alignment horizontal="center" vertical="center" wrapText="1"/>
      <protection hidden="1"/>
    </xf>
    <xf numFmtId="10" fontId="27" fillId="0" borderId="9" xfId="9" applyNumberFormat="1" applyFont="1" applyFill="1" applyBorder="1" applyAlignment="1" applyProtection="1">
      <alignment horizontal="center" vertical="center"/>
      <protection hidden="1"/>
    </xf>
    <xf numFmtId="166" fontId="27" fillId="0" borderId="10" xfId="13" applyNumberFormat="1" applyFont="1" applyFill="1" applyBorder="1" applyAlignment="1" applyProtection="1">
      <alignment horizontal="center" vertical="center" wrapText="1"/>
      <protection hidden="1"/>
    </xf>
    <xf numFmtId="9" fontId="23" fillId="0" borderId="16" xfId="9" applyNumberFormat="1" applyFont="1" applyFill="1" applyBorder="1" applyAlignment="1" applyProtection="1">
      <alignment vertical="center"/>
      <protection hidden="1"/>
    </xf>
    <xf numFmtId="167" fontId="27" fillId="0" borderId="20" xfId="11" applyNumberFormat="1" applyFont="1" applyFill="1" applyBorder="1" applyAlignment="1" applyProtection="1">
      <alignment horizontal="center" vertical="center"/>
      <protection hidden="1"/>
    </xf>
    <xf numFmtId="10" fontId="23" fillId="0" borderId="21" xfId="10" applyNumberFormat="1" applyFont="1" applyFill="1" applyBorder="1" applyAlignment="1" applyProtection="1">
      <alignment vertical="center"/>
      <protection hidden="1"/>
    </xf>
    <xf numFmtId="164" fontId="23" fillId="0" borderId="22" xfId="13" applyFont="1" applyFill="1" applyBorder="1" applyAlignment="1" applyProtection="1">
      <alignment vertical="center"/>
      <protection hidden="1"/>
    </xf>
    <xf numFmtId="10" fontId="23" fillId="0" borderId="23" xfId="10" applyNumberFormat="1" applyFont="1" applyFill="1" applyBorder="1" applyAlignment="1" applyProtection="1">
      <alignment vertical="center"/>
      <protection hidden="1"/>
    </xf>
    <xf numFmtId="167" fontId="23" fillId="0" borderId="21" xfId="11" applyNumberFormat="1" applyFont="1" applyFill="1" applyBorder="1" applyAlignment="1" applyProtection="1">
      <alignment horizontal="center" vertical="center"/>
      <protection hidden="1"/>
    </xf>
    <xf numFmtId="167" fontId="23" fillId="0" borderId="23" xfId="11" applyNumberFormat="1" applyFont="1" applyFill="1" applyBorder="1" applyAlignment="1" applyProtection="1">
      <alignment horizontal="center" vertical="center"/>
      <protection hidden="1"/>
    </xf>
    <xf numFmtId="167" fontId="23" fillId="0" borderId="20" xfId="11" applyNumberFormat="1" applyFont="1" applyFill="1" applyBorder="1" applyAlignment="1" applyProtection="1">
      <alignment horizontal="center" vertical="center"/>
      <protection hidden="1"/>
    </xf>
    <xf numFmtId="167" fontId="27" fillId="0" borderId="24" xfId="11" applyNumberFormat="1" applyFont="1" applyFill="1" applyBorder="1" applyAlignment="1" applyProtection="1">
      <alignment horizontal="center" vertical="center"/>
      <protection hidden="1"/>
    </xf>
    <xf numFmtId="10" fontId="27" fillId="0" borderId="25" xfId="10" applyNumberFormat="1" applyFont="1" applyFill="1" applyBorder="1" applyAlignment="1" applyProtection="1">
      <alignment vertical="center"/>
      <protection hidden="1"/>
    </xf>
    <xf numFmtId="39" fontId="23" fillId="0" borderId="0" xfId="0" applyNumberFormat="1" applyFont="1" applyFill="1" applyAlignment="1" applyProtection="1">
      <alignment horizontal="center" vertical="center"/>
      <protection hidden="1"/>
    </xf>
    <xf numFmtId="9" fontId="23" fillId="0" borderId="0" xfId="0" applyNumberFormat="1" applyFont="1" applyFill="1" applyAlignment="1" applyProtection="1">
      <alignment vertical="center"/>
      <protection hidden="1"/>
    </xf>
    <xf numFmtId="164" fontId="23" fillId="0" borderId="0" xfId="13" applyFont="1" applyFill="1" applyAlignment="1" applyProtection="1">
      <alignment vertical="center"/>
      <protection hidden="1"/>
    </xf>
    <xf numFmtId="9" fontId="23" fillId="0" borderId="11" xfId="0" applyNumberFormat="1" applyFont="1" applyFill="1" applyBorder="1" applyAlignment="1" applyProtection="1">
      <alignment horizontal="right" vertical="center"/>
      <protection locked="0"/>
    </xf>
    <xf numFmtId="9" fontId="23" fillId="0" borderId="13" xfId="9" applyNumberFormat="1" applyFont="1" applyFill="1" applyBorder="1" applyAlignment="1" applyProtection="1">
      <alignment vertical="center"/>
      <protection locked="0"/>
    </xf>
    <xf numFmtId="0" fontId="28" fillId="0" borderId="0" xfId="13" applyNumberFormat="1" applyFont="1" applyFill="1" applyBorder="1" applyAlignment="1" applyProtection="1">
      <alignment horizontal="center" vertical="center" wrapText="1"/>
      <protection hidden="1"/>
    </xf>
    <xf numFmtId="39" fontId="23" fillId="0" borderId="8" xfId="0" applyNumberFormat="1" applyFont="1" applyFill="1" applyBorder="1" applyAlignment="1" applyProtection="1">
      <alignment horizontal="center" vertical="center"/>
      <protection hidden="1"/>
    </xf>
    <xf numFmtId="9" fontId="23" fillId="0" borderId="15" xfId="0" applyNumberFormat="1" applyFont="1" applyFill="1" applyBorder="1" applyAlignment="1" applyProtection="1">
      <alignment horizontal="right" vertical="center"/>
      <protection hidden="1"/>
    </xf>
    <xf numFmtId="9" fontId="23" fillId="0" borderId="15" xfId="13" applyNumberFormat="1" applyFont="1" applyFill="1" applyBorder="1" applyAlignment="1" applyProtection="1">
      <alignment horizontal="center" vertical="center" wrapText="1"/>
      <protection hidden="1"/>
    </xf>
    <xf numFmtId="164" fontId="23" fillId="0" borderId="16" xfId="13" applyFont="1" applyFill="1" applyBorder="1" applyAlignment="1" applyProtection="1">
      <alignment horizontal="center" vertical="center" wrapText="1"/>
      <protection hidden="1"/>
    </xf>
    <xf numFmtId="4" fontId="23" fillId="0" borderId="16" xfId="13" applyNumberFormat="1" applyFont="1" applyFill="1" applyBorder="1" applyAlignment="1" applyProtection="1">
      <alignment vertical="center"/>
      <protection hidden="1"/>
    </xf>
    <xf numFmtId="39" fontId="27" fillId="0" borderId="26" xfId="0" applyNumberFormat="1" applyFont="1" applyFill="1" applyBorder="1" applyAlignment="1" applyProtection="1">
      <alignment horizontal="center" vertical="center"/>
      <protection hidden="1"/>
    </xf>
    <xf numFmtId="39" fontId="27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27" fillId="0" borderId="0" xfId="9" applyNumberFormat="1" applyFont="1" applyFill="1" applyBorder="1" applyAlignment="1" applyProtection="1">
      <alignment horizontal="center" vertical="center"/>
      <protection hidden="1"/>
    </xf>
    <xf numFmtId="9" fontId="23" fillId="0" borderId="18" xfId="9" applyNumberFormat="1" applyFont="1" applyFill="1" applyBorder="1" applyAlignment="1" applyProtection="1">
      <alignment vertical="center"/>
      <protection hidden="1"/>
    </xf>
    <xf numFmtId="164" fontId="23" fillId="0" borderId="19" xfId="13" applyFont="1" applyFill="1" applyBorder="1" applyAlignment="1" applyProtection="1">
      <alignment vertical="center"/>
      <protection hidden="1"/>
    </xf>
    <xf numFmtId="9" fontId="23" fillId="0" borderId="19" xfId="9" applyNumberFormat="1" applyFont="1" applyFill="1" applyBorder="1" applyAlignment="1" applyProtection="1">
      <alignment vertical="center"/>
      <protection hidden="1"/>
    </xf>
    <xf numFmtId="4" fontId="23" fillId="0" borderId="19" xfId="13" applyNumberFormat="1" applyFont="1" applyFill="1" applyBorder="1" applyAlignment="1" applyProtection="1">
      <alignment vertical="center"/>
      <protection hidden="1"/>
    </xf>
    <xf numFmtId="4" fontId="23" fillId="0" borderId="27" xfId="13" applyNumberFormat="1" applyFont="1" applyFill="1" applyBorder="1" applyAlignment="1" applyProtection="1">
      <alignment vertical="center"/>
      <protection hidden="1"/>
    </xf>
    <xf numFmtId="39" fontId="27" fillId="0" borderId="28" xfId="0" applyNumberFormat="1" applyFont="1" applyFill="1" applyBorder="1" applyAlignment="1" applyProtection="1">
      <alignment horizontal="right" vertical="center"/>
      <protection hidden="1"/>
    </xf>
    <xf numFmtId="39" fontId="27" fillId="0" borderId="29" xfId="0" applyNumberFormat="1" applyFont="1" applyFill="1" applyBorder="1" applyAlignment="1" applyProtection="1">
      <alignment horizontal="center" vertical="center"/>
      <protection hidden="1"/>
    </xf>
    <xf numFmtId="9" fontId="27" fillId="0" borderId="29" xfId="0" applyNumberFormat="1" applyFont="1" applyFill="1" applyBorder="1" applyAlignment="1" applyProtection="1">
      <alignment horizontal="right" vertical="center"/>
      <protection hidden="1"/>
    </xf>
    <xf numFmtId="9" fontId="27" fillId="0" borderId="28" xfId="0" applyNumberFormat="1" applyFont="1" applyFill="1" applyBorder="1" applyAlignment="1" applyProtection="1">
      <alignment horizontal="right" vertical="center"/>
      <protection hidden="1"/>
    </xf>
    <xf numFmtId="164" fontId="23" fillId="0" borderId="29" xfId="13" applyFont="1" applyFill="1" applyBorder="1" applyAlignment="1" applyProtection="1">
      <alignment horizontal="right" vertical="center"/>
      <protection hidden="1"/>
    </xf>
    <xf numFmtId="4" fontId="27" fillId="0" borderId="29" xfId="0" applyNumberFormat="1" applyFont="1" applyFill="1" applyBorder="1" applyAlignment="1" applyProtection="1">
      <alignment horizontal="right" vertical="center"/>
      <protection hidden="1"/>
    </xf>
    <xf numFmtId="4" fontId="27" fillId="0" borderId="30" xfId="0" applyNumberFormat="1" applyFont="1" applyFill="1" applyBorder="1" applyAlignment="1" applyProtection="1">
      <alignment horizontal="right" vertical="center"/>
      <protection hidden="1"/>
    </xf>
    <xf numFmtId="0" fontId="30" fillId="0" borderId="0" xfId="4" applyFont="1" applyFill="1" applyBorder="1" applyAlignment="1" applyProtection="1">
      <alignment vertical="center"/>
      <protection hidden="1"/>
    </xf>
    <xf numFmtId="0" fontId="31" fillId="0" borderId="0" xfId="4" applyFont="1" applyFill="1" applyBorder="1" applyAlignment="1" applyProtection="1">
      <alignment vertical="center"/>
      <protection hidden="1"/>
    </xf>
    <xf numFmtId="39" fontId="32" fillId="3" borderId="0" xfId="0" applyNumberFormat="1" applyFont="1" applyFill="1" applyBorder="1" applyAlignment="1" applyProtection="1">
      <alignment horizontal="center" vertical="center"/>
      <protection hidden="1"/>
    </xf>
    <xf numFmtId="9" fontId="32" fillId="3" borderId="0" xfId="0" applyNumberFormat="1" applyFont="1" applyFill="1" applyBorder="1" applyAlignment="1" applyProtection="1">
      <alignment horizontal="center" vertical="center"/>
      <protection hidden="1"/>
    </xf>
    <xf numFmtId="9" fontId="30" fillId="0" borderId="0" xfId="0" applyNumberFormat="1" applyFont="1" applyFill="1" applyBorder="1" applyAlignment="1" applyProtection="1">
      <alignment horizontal="center" vertical="center"/>
      <protection hidden="1"/>
    </xf>
    <xf numFmtId="9" fontId="30" fillId="0" borderId="0" xfId="9" applyNumberFormat="1" applyFont="1" applyFill="1" applyBorder="1" applyAlignment="1" applyProtection="1">
      <alignment vertical="center"/>
      <protection locked="0"/>
    </xf>
    <xf numFmtId="9" fontId="30" fillId="0" borderId="0" xfId="0" applyNumberFormat="1" applyFont="1" applyFill="1" applyBorder="1" applyAlignment="1" applyProtection="1">
      <alignment horizontal="right" vertical="center"/>
      <protection hidden="1"/>
    </xf>
    <xf numFmtId="9" fontId="30" fillId="0" borderId="0" xfId="0" applyNumberFormat="1" applyFont="1" applyFill="1" applyBorder="1" applyAlignment="1" applyProtection="1">
      <alignment vertical="center"/>
      <protection hidden="1"/>
    </xf>
    <xf numFmtId="167" fontId="23" fillId="0" borderId="31" xfId="11" applyNumberFormat="1" applyFont="1" applyFill="1" applyBorder="1" applyAlignment="1" applyProtection="1">
      <alignment vertical="center"/>
      <protection hidden="1"/>
    </xf>
    <xf numFmtId="167" fontId="23" fillId="0" borderId="32" xfId="11" applyNumberFormat="1" applyFont="1" applyFill="1" applyBorder="1" applyAlignment="1" applyProtection="1">
      <alignment horizontal="center" vertical="center"/>
      <protection hidden="1"/>
    </xf>
    <xf numFmtId="0" fontId="18" fillId="4" borderId="0" xfId="4" applyFont="1" applyFill="1" applyBorder="1" applyAlignment="1" applyProtection="1">
      <alignment vertical="center"/>
      <protection hidden="1"/>
    </xf>
    <xf numFmtId="0" fontId="17" fillId="4" borderId="0" xfId="4" applyFont="1" applyFill="1" applyBorder="1" applyAlignment="1" applyProtection="1">
      <alignment horizontal="center" vertical="center"/>
      <protection hidden="1"/>
    </xf>
    <xf numFmtId="0" fontId="34" fillId="0" borderId="0" xfId="4" applyFont="1" applyFill="1" applyBorder="1" applyAlignment="1" applyProtection="1">
      <alignment vertical="center"/>
      <protection hidden="1"/>
    </xf>
    <xf numFmtId="0" fontId="33" fillId="0" borderId="0" xfId="4" applyFont="1" applyFill="1" applyBorder="1" applyAlignment="1" applyProtection="1">
      <alignment horizontal="center" vertical="center"/>
      <protection hidden="1"/>
    </xf>
    <xf numFmtId="0" fontId="16" fillId="0" borderId="0" xfId="4" applyFont="1" applyFill="1" applyBorder="1" applyAlignment="1" applyProtection="1">
      <alignment vertical="center"/>
      <protection hidden="1"/>
    </xf>
    <xf numFmtId="0" fontId="21" fillId="0" borderId="0" xfId="4" applyFont="1" applyFill="1" applyBorder="1" applyAlignment="1" applyProtection="1">
      <alignment horizontal="center" vertical="center" wrapText="1"/>
      <protection hidden="1"/>
    </xf>
    <xf numFmtId="168" fontId="23" fillId="0" borderId="13" xfId="9" applyNumberFormat="1" applyFont="1" applyFill="1" applyBorder="1" applyAlignment="1" applyProtection="1">
      <alignment vertical="center"/>
      <protection locked="0"/>
    </xf>
    <xf numFmtId="9" fontId="23" fillId="0" borderId="2" xfId="0" applyNumberFormat="1" applyFont="1" applyFill="1" applyBorder="1" applyAlignment="1" applyProtection="1">
      <alignment vertical="center"/>
      <protection hidden="1"/>
    </xf>
    <xf numFmtId="0" fontId="28" fillId="5" borderId="11" xfId="13" applyNumberFormat="1" applyFont="1" applyFill="1" applyBorder="1" applyAlignment="1" applyProtection="1">
      <alignment horizontal="center" vertical="center" wrapText="1"/>
      <protection hidden="1"/>
    </xf>
    <xf numFmtId="0" fontId="28" fillId="5" borderId="12" xfId="13" applyNumberFormat="1" applyFont="1" applyFill="1" applyBorder="1" applyAlignment="1" applyProtection="1">
      <alignment horizontal="center" vertical="center" wrapText="1"/>
      <protection hidden="1"/>
    </xf>
    <xf numFmtId="0" fontId="28" fillId="5" borderId="13" xfId="13" applyNumberFormat="1" applyFont="1" applyFill="1" applyBorder="1" applyAlignment="1" applyProtection="1">
      <alignment horizontal="center" vertical="center" wrapText="1"/>
      <protection hidden="1"/>
    </xf>
    <xf numFmtId="0" fontId="28" fillId="5" borderId="14" xfId="13" applyNumberFormat="1" applyFont="1" applyFill="1" applyBorder="1" applyAlignment="1" applyProtection="1">
      <alignment horizontal="center" vertical="center" wrapText="1"/>
      <protection hidden="1"/>
    </xf>
    <xf numFmtId="39" fontId="7" fillId="0" borderId="33" xfId="4" applyNumberFormat="1" applyFont="1" applyFill="1" applyBorder="1" applyAlignment="1" applyProtection="1">
      <alignment vertical="center"/>
      <protection hidden="1"/>
    </xf>
    <xf numFmtId="39" fontId="5" fillId="0" borderId="33" xfId="0" applyFont="1" applyBorder="1" applyAlignment="1" applyProtection="1">
      <alignment vertical="center"/>
      <protection hidden="1"/>
    </xf>
    <xf numFmtId="0" fontId="9" fillId="0" borderId="0" xfId="4" applyFont="1" applyFill="1" applyBorder="1" applyAlignment="1" applyProtection="1">
      <alignment horizontal="center" vertical="center"/>
      <protection hidden="1"/>
    </xf>
    <xf numFmtId="164" fontId="9" fillId="0" borderId="0" xfId="11" applyFont="1" applyFill="1" applyBorder="1" applyAlignment="1" applyProtection="1">
      <alignment vertical="center"/>
      <protection hidden="1"/>
    </xf>
    <xf numFmtId="4" fontId="9" fillId="0" borderId="0" xfId="11" applyNumberFormat="1" applyFont="1" applyFill="1" applyBorder="1" applyAlignment="1" applyProtection="1">
      <alignment vertical="center"/>
      <protection hidden="1"/>
    </xf>
    <xf numFmtId="0" fontId="9" fillId="0" borderId="0" xfId="4" applyFont="1" applyFill="1" applyBorder="1" applyAlignment="1" applyProtection="1">
      <alignment horizontal="right" vertical="center"/>
      <protection hidden="1"/>
    </xf>
    <xf numFmtId="0" fontId="35" fillId="0" borderId="0" xfId="4" applyFont="1" applyFill="1" applyBorder="1" applyAlignment="1" applyProtection="1">
      <alignment vertical="center"/>
      <protection hidden="1"/>
    </xf>
    <xf numFmtId="4" fontId="23" fillId="0" borderId="30" xfId="0" applyNumberFormat="1" applyFont="1" applyFill="1" applyBorder="1" applyAlignment="1" applyProtection="1">
      <alignment horizontal="center" vertical="center"/>
      <protection hidden="1"/>
    </xf>
    <xf numFmtId="167" fontId="23" fillId="0" borderId="34" xfId="11" applyNumberFormat="1" applyFont="1" applyFill="1" applyBorder="1" applyAlignment="1" applyProtection="1">
      <alignment vertical="center"/>
      <protection hidden="1"/>
    </xf>
    <xf numFmtId="0" fontId="28" fillId="4" borderId="13" xfId="13" applyNumberFormat="1" applyFont="1" applyFill="1" applyBorder="1" applyAlignment="1" applyProtection="1">
      <alignment horizontal="center" vertical="center" wrapText="1"/>
      <protection hidden="1"/>
    </xf>
    <xf numFmtId="164" fontId="23" fillId="0" borderId="13" xfId="13" applyFont="1" applyFill="1" applyBorder="1" applyAlignment="1" applyProtection="1">
      <alignment horizontal="right" vertical="center"/>
      <protection hidden="1"/>
    </xf>
    <xf numFmtId="0" fontId="28" fillId="4" borderId="14" xfId="13" applyNumberFormat="1" applyFont="1" applyFill="1" applyBorder="1" applyAlignment="1" applyProtection="1">
      <alignment horizontal="center" vertical="center" wrapText="1"/>
      <protection hidden="1"/>
    </xf>
    <xf numFmtId="0" fontId="28" fillId="5" borderId="35" xfId="13" applyNumberFormat="1" applyFont="1" applyFill="1" applyBorder="1" applyAlignment="1" applyProtection="1">
      <alignment horizontal="center" vertical="center" wrapText="1"/>
      <protection hidden="1"/>
    </xf>
    <xf numFmtId="166" fontId="27" fillId="0" borderId="17" xfId="0" applyNumberFormat="1" applyFont="1" applyFill="1" applyBorder="1" applyAlignment="1" applyProtection="1">
      <alignment horizontal="center" vertical="center"/>
      <protection hidden="1"/>
    </xf>
    <xf numFmtId="166" fontId="27" fillId="0" borderId="27" xfId="0" applyNumberFormat="1" applyFont="1" applyFill="1" applyBorder="1" applyAlignment="1" applyProtection="1">
      <alignment horizontal="center" vertical="center"/>
      <protection hidden="1"/>
    </xf>
    <xf numFmtId="166" fontId="23" fillId="0" borderId="36" xfId="0" applyNumberFormat="1" applyFont="1" applyFill="1" applyBorder="1" applyAlignment="1" applyProtection="1">
      <alignment horizontal="center" vertical="center"/>
      <protection hidden="1"/>
    </xf>
    <xf numFmtId="166" fontId="27" fillId="0" borderId="30" xfId="0" applyNumberFormat="1" applyFont="1" applyFill="1" applyBorder="1" applyAlignment="1" applyProtection="1">
      <alignment horizontal="center" vertical="center"/>
      <protection hidden="1"/>
    </xf>
    <xf numFmtId="9" fontId="23" fillId="4" borderId="16" xfId="9" applyNumberFormat="1" applyFont="1" applyFill="1" applyBorder="1" applyAlignment="1" applyProtection="1">
      <alignment vertical="center"/>
      <protection hidden="1"/>
    </xf>
    <xf numFmtId="4" fontId="23" fillId="4" borderId="16" xfId="13" applyNumberFormat="1" applyFont="1" applyFill="1" applyBorder="1" applyAlignment="1" applyProtection="1">
      <alignment vertical="center"/>
      <protection hidden="1"/>
    </xf>
    <xf numFmtId="4" fontId="23" fillId="4" borderId="17" xfId="13" applyNumberFormat="1" applyFont="1" applyFill="1" applyBorder="1" applyAlignment="1" applyProtection="1">
      <alignment vertical="center"/>
      <protection hidden="1"/>
    </xf>
    <xf numFmtId="10" fontId="23" fillId="0" borderId="11" xfId="0" applyNumberFormat="1" applyFont="1" applyFill="1" applyBorder="1" applyAlignment="1" applyProtection="1">
      <alignment horizontal="right" vertical="center"/>
      <protection locked="0"/>
    </xf>
    <xf numFmtId="10" fontId="23" fillId="0" borderId="13" xfId="9" applyNumberFormat="1" applyFont="1" applyFill="1" applyBorder="1" applyAlignment="1" applyProtection="1">
      <alignment vertical="center"/>
      <protection locked="0"/>
    </xf>
    <xf numFmtId="167" fontId="27" fillId="0" borderId="37" xfId="11" applyNumberFormat="1" applyFont="1" applyFill="1" applyBorder="1" applyAlignment="1" applyProtection="1">
      <alignment horizontal="center" vertical="center"/>
      <protection hidden="1"/>
    </xf>
    <xf numFmtId="39" fontId="19" fillId="3" borderId="38" xfId="4" applyNumberFormat="1" applyFont="1" applyFill="1" applyBorder="1" applyAlignment="1" applyProtection="1">
      <alignment horizontal="center" vertical="center"/>
      <protection hidden="1"/>
    </xf>
    <xf numFmtId="39" fontId="19" fillId="3" borderId="40" xfId="4" applyNumberFormat="1" applyFont="1" applyFill="1" applyBorder="1" applyAlignment="1" applyProtection="1">
      <alignment horizontal="center" vertical="center"/>
      <protection hidden="1"/>
    </xf>
    <xf numFmtId="164" fontId="19" fillId="3" borderId="41" xfId="11" applyFont="1" applyFill="1" applyBorder="1" applyAlignment="1" applyProtection="1">
      <alignment horizontal="center" vertical="center"/>
      <protection hidden="1"/>
    </xf>
    <xf numFmtId="4" fontId="19" fillId="3" borderId="42" xfId="11" applyNumberFormat="1" applyFont="1" applyFill="1" applyBorder="1" applyAlignment="1" applyProtection="1">
      <alignment horizontal="center" vertical="center" wrapText="1"/>
      <protection hidden="1"/>
    </xf>
    <xf numFmtId="164" fontId="19" fillId="3" borderId="39" xfId="11" applyFont="1" applyFill="1" applyBorder="1" applyAlignment="1" applyProtection="1">
      <alignment horizontal="center" vertical="center" wrapText="1"/>
      <protection hidden="1"/>
    </xf>
    <xf numFmtId="39" fontId="19" fillId="3" borderId="41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2" applyFont="1" applyFill="1" applyBorder="1" applyAlignment="1">
      <alignment horizontal="center" vertical="top"/>
    </xf>
    <xf numFmtId="0" fontId="5" fillId="0" borderId="13" xfId="2" applyFont="1" applyFill="1" applyBorder="1" applyAlignment="1">
      <alignment horizontal="center" vertical="top" wrapText="1"/>
    </xf>
    <xf numFmtId="4" fontId="5" fillId="0" borderId="13" xfId="2" applyNumberFormat="1" applyFont="1" applyFill="1" applyBorder="1" applyAlignment="1">
      <alignment horizontal="right" vertical="top"/>
    </xf>
    <xf numFmtId="4" fontId="5" fillId="0" borderId="13" xfId="2" applyNumberFormat="1" applyFont="1" applyFill="1" applyBorder="1" applyAlignment="1">
      <alignment horizontal="right" vertical="top" wrapText="1"/>
    </xf>
    <xf numFmtId="39" fontId="16" fillId="0" borderId="13" xfId="0" applyFont="1" applyFill="1" applyBorder="1" applyAlignment="1" applyProtection="1">
      <alignment vertical="center"/>
      <protection hidden="1"/>
    </xf>
    <xf numFmtId="39" fontId="5" fillId="0" borderId="13" xfId="2" applyNumberFormat="1" applyFont="1" applyFill="1" applyBorder="1" applyAlignment="1">
      <alignment horizontal="center" vertical="top" wrapText="1"/>
    </xf>
    <xf numFmtId="0" fontId="5" fillId="0" borderId="13" xfId="8" applyFont="1" applyFill="1" applyBorder="1" applyAlignment="1">
      <alignment horizontal="center" vertical="top" wrapText="1"/>
    </xf>
    <xf numFmtId="0" fontId="17" fillId="0" borderId="13" xfId="4" applyFont="1" applyFill="1" applyBorder="1" applyAlignment="1" applyProtection="1">
      <alignment horizontal="center" vertical="center"/>
      <protection hidden="1"/>
    </xf>
    <xf numFmtId="164" fontId="17" fillId="0" borderId="13" xfId="11" applyFont="1" applyFill="1" applyBorder="1" applyAlignment="1" applyProtection="1">
      <alignment vertical="center"/>
      <protection hidden="1"/>
    </xf>
    <xf numFmtId="39" fontId="5" fillId="0" borderId="13" xfId="0" quotePrefix="1" applyNumberFormat="1" applyFont="1" applyFill="1" applyBorder="1" applyAlignment="1">
      <alignment horizontal="right" vertical="top" wrapText="1"/>
    </xf>
    <xf numFmtId="0" fontId="5" fillId="0" borderId="13" xfId="0" applyNumberFormat="1" applyFont="1" applyFill="1" applyBorder="1" applyAlignment="1">
      <alignment horizontal="center" vertical="top"/>
    </xf>
    <xf numFmtId="39" fontId="5" fillId="0" borderId="13" xfId="0" applyNumberFormat="1" applyFont="1" applyFill="1" applyBorder="1" applyAlignment="1">
      <alignment horizontal="right" vertical="top"/>
    </xf>
    <xf numFmtId="0" fontId="34" fillId="0" borderId="13" xfId="4" applyFont="1" applyFill="1" applyBorder="1" applyAlignment="1" applyProtection="1">
      <alignment vertical="center"/>
      <protection hidden="1"/>
    </xf>
    <xf numFmtId="0" fontId="18" fillId="0" borderId="13" xfId="4" applyFont="1" applyFill="1" applyBorder="1" applyAlignment="1" applyProtection="1">
      <alignment vertical="center"/>
      <protection hidden="1"/>
    </xf>
    <xf numFmtId="2" fontId="5" fillId="0" borderId="13" xfId="0" applyNumberFormat="1" applyFont="1" applyFill="1" applyBorder="1" applyAlignment="1">
      <alignment vertical="top"/>
    </xf>
    <xf numFmtId="39" fontId="5" fillId="0" borderId="13" xfId="2" applyNumberFormat="1" applyFont="1" applyFill="1" applyBorder="1" applyAlignment="1">
      <alignment horizontal="right" vertical="top"/>
    </xf>
    <xf numFmtId="2" fontId="18" fillId="0" borderId="13" xfId="4" applyNumberFormat="1" applyFont="1" applyFill="1" applyBorder="1" applyAlignment="1" applyProtection="1">
      <alignment vertical="center"/>
      <protection hidden="1"/>
    </xf>
    <xf numFmtId="164" fontId="17" fillId="2" borderId="13" xfId="11" applyFont="1" applyFill="1" applyBorder="1" applyAlignment="1" applyProtection="1">
      <alignment horizontal="center" vertical="center"/>
      <protection hidden="1"/>
    </xf>
    <xf numFmtId="0" fontId="36" fillId="0" borderId="0" xfId="4" applyFont="1" applyFill="1" applyBorder="1" applyAlignment="1" applyProtection="1">
      <alignment vertical="center"/>
      <protection hidden="1"/>
    </xf>
    <xf numFmtId="0" fontId="37" fillId="0" borderId="13" xfId="2" applyFont="1" applyFill="1" applyBorder="1" applyAlignment="1">
      <alignment horizontal="center" vertical="top"/>
    </xf>
    <xf numFmtId="0" fontId="38" fillId="0" borderId="0" xfId="4" applyFont="1" applyFill="1" applyBorder="1" applyAlignment="1" applyProtection="1">
      <alignment vertical="center"/>
      <protection hidden="1"/>
    </xf>
    <xf numFmtId="4" fontId="17" fillId="0" borderId="13" xfId="11" applyNumberFormat="1" applyFont="1" applyFill="1" applyBorder="1" applyAlignment="1" applyProtection="1">
      <alignment vertical="center"/>
      <protection hidden="1"/>
    </xf>
    <xf numFmtId="0" fontId="39" fillId="0" borderId="13" xfId="4" applyFont="1" applyFill="1" applyBorder="1" applyAlignment="1" applyProtection="1">
      <alignment vertical="center"/>
      <protection hidden="1"/>
    </xf>
    <xf numFmtId="2" fontId="38" fillId="0" borderId="13" xfId="4" applyNumberFormat="1" applyFont="1" applyFill="1" applyBorder="1" applyAlignment="1" applyProtection="1">
      <alignment vertical="center"/>
      <protection hidden="1"/>
    </xf>
    <xf numFmtId="0" fontId="38" fillId="0" borderId="13" xfId="4" applyFont="1" applyFill="1" applyBorder="1" applyAlignment="1" applyProtection="1">
      <alignment vertical="center"/>
      <protection hidden="1"/>
    </xf>
    <xf numFmtId="39" fontId="38" fillId="0" borderId="0" xfId="0" applyFont="1" applyFill="1" applyBorder="1" applyAlignment="1" applyProtection="1">
      <alignment vertical="center"/>
      <protection hidden="1"/>
    </xf>
    <xf numFmtId="0" fontId="38" fillId="0" borderId="0" xfId="4" applyFont="1" applyFill="1" applyBorder="1" applyAlignment="1" applyProtection="1">
      <alignment horizontal="center" vertical="center" wrapText="1"/>
      <protection hidden="1"/>
    </xf>
    <xf numFmtId="0" fontId="20" fillId="0" borderId="0" xfId="4" applyFont="1" applyFill="1" applyBorder="1" applyAlignment="1" applyProtection="1">
      <alignment vertical="center"/>
      <protection hidden="1"/>
    </xf>
    <xf numFmtId="0" fontId="19" fillId="0" borderId="0" xfId="4" applyFont="1" applyFill="1" applyBorder="1" applyAlignment="1" applyProtection="1">
      <alignment horizontal="center" vertical="center"/>
      <protection hidden="1"/>
    </xf>
    <xf numFmtId="2" fontId="5" fillId="0" borderId="13" xfId="2" applyNumberFormat="1" applyFont="1" applyFill="1" applyBorder="1" applyAlignment="1">
      <alignment horizontal="right" vertical="top"/>
    </xf>
    <xf numFmtId="2" fontId="5" fillId="0" borderId="13" xfId="0" applyNumberFormat="1" applyFont="1" applyFill="1" applyBorder="1" applyAlignment="1">
      <alignment horizontal="right" vertical="top"/>
    </xf>
    <xf numFmtId="2" fontId="18" fillId="0" borderId="13" xfId="13" applyNumberFormat="1" applyFont="1" applyFill="1" applyBorder="1" applyAlignment="1" applyProtection="1">
      <alignment vertical="center"/>
      <protection hidden="1"/>
    </xf>
    <xf numFmtId="4" fontId="5" fillId="0" borderId="13" xfId="0" applyNumberFormat="1" applyFont="1" applyFill="1" applyBorder="1" applyAlignment="1">
      <alignment horizontal="right" vertical="top"/>
    </xf>
    <xf numFmtId="4" fontId="5" fillId="0" borderId="13" xfId="0" applyNumberFormat="1" applyFont="1" applyFill="1" applyBorder="1" applyAlignment="1">
      <alignment vertical="top"/>
    </xf>
    <xf numFmtId="39" fontId="5" fillId="0" borderId="13" xfId="0" applyNumberFormat="1" applyFont="1" applyFill="1" applyBorder="1" applyAlignment="1">
      <alignment horizontal="center" vertical="top"/>
    </xf>
    <xf numFmtId="164" fontId="5" fillId="0" borderId="13" xfId="11" applyNumberFormat="1" applyFont="1" applyFill="1" applyBorder="1" applyAlignment="1">
      <alignment horizontal="right" vertical="top" wrapText="1"/>
    </xf>
    <xf numFmtId="0" fontId="5" fillId="0" borderId="13" xfId="2" applyFont="1" applyFill="1" applyBorder="1" applyAlignment="1">
      <alignment vertical="top"/>
    </xf>
    <xf numFmtId="39" fontId="5" fillId="0" borderId="13" xfId="0" applyNumberFormat="1" applyFont="1" applyFill="1" applyBorder="1" applyAlignment="1">
      <alignment horizontal="center" vertical="top" wrapText="1"/>
    </xf>
    <xf numFmtId="0" fontId="21" fillId="0" borderId="0" xfId="4" applyFont="1" applyFill="1" applyBorder="1" applyAlignment="1" applyProtection="1">
      <alignment horizontal="center" vertical="center"/>
      <protection hidden="1"/>
    </xf>
    <xf numFmtId="164" fontId="5" fillId="0" borderId="13" xfId="13" applyNumberFormat="1" applyFont="1" applyFill="1" applyBorder="1" applyAlignment="1">
      <alignment horizontal="right" vertical="top" wrapText="1"/>
    </xf>
    <xf numFmtId="0" fontId="5" fillId="0" borderId="13" xfId="5" applyFont="1" applyFill="1" applyBorder="1" applyAlignment="1">
      <alignment horizontal="center" vertical="top" wrapText="1"/>
    </xf>
    <xf numFmtId="0" fontId="16" fillId="0" borderId="13" xfId="4" applyFont="1" applyFill="1" applyBorder="1" applyAlignment="1" applyProtection="1">
      <alignment vertical="center"/>
      <protection hidden="1"/>
    </xf>
    <xf numFmtId="0" fontId="16" fillId="0" borderId="13" xfId="4" applyFont="1" applyFill="1" applyBorder="1" applyAlignment="1" applyProtection="1">
      <alignment horizontal="center" vertical="center"/>
      <protection hidden="1"/>
    </xf>
    <xf numFmtId="164" fontId="16" fillId="0" borderId="13" xfId="11" applyFont="1" applyFill="1" applyBorder="1" applyAlignment="1" applyProtection="1">
      <alignment vertical="center"/>
      <protection hidden="1"/>
    </xf>
    <xf numFmtId="4" fontId="16" fillId="0" borderId="13" xfId="11" applyNumberFormat="1" applyFont="1" applyFill="1" applyBorder="1" applyAlignment="1" applyProtection="1">
      <alignment vertical="center"/>
      <protection hidden="1"/>
    </xf>
    <xf numFmtId="164" fontId="16" fillId="0" borderId="0" xfId="11" applyFont="1" applyFill="1" applyBorder="1" applyAlignment="1" applyProtection="1">
      <alignment vertical="center"/>
      <protection hidden="1"/>
    </xf>
    <xf numFmtId="4" fontId="16" fillId="0" borderId="0" xfId="11" applyNumberFormat="1" applyFont="1" applyFill="1" applyBorder="1" applyAlignment="1" applyProtection="1">
      <alignment vertical="center"/>
      <protection hidden="1"/>
    </xf>
    <xf numFmtId="0" fontId="33" fillId="0" borderId="13" xfId="4" applyFont="1" applyFill="1" applyBorder="1" applyAlignment="1" applyProtection="1">
      <alignment vertical="center"/>
      <protection hidden="1"/>
    </xf>
    <xf numFmtId="2" fontId="16" fillId="0" borderId="13" xfId="4" applyNumberFormat="1" applyFont="1" applyFill="1" applyBorder="1" applyAlignment="1" applyProtection="1">
      <alignment vertical="center"/>
      <protection hidden="1"/>
    </xf>
    <xf numFmtId="39" fontId="13" fillId="0" borderId="13" xfId="0" applyNumberFormat="1" applyFont="1" applyFill="1" applyBorder="1" applyAlignment="1">
      <alignment horizontal="center" vertical="center" wrapText="1"/>
    </xf>
    <xf numFmtId="4" fontId="14" fillId="0" borderId="13" xfId="0" applyNumberFormat="1" applyFont="1" applyFill="1" applyBorder="1" applyAlignment="1">
      <alignment horizontal="right" vertical="top"/>
    </xf>
    <xf numFmtId="164" fontId="14" fillId="0" borderId="13" xfId="3" applyNumberFormat="1" applyFont="1" applyFill="1" applyBorder="1" applyAlignment="1">
      <alignment horizontal="center" vertical="center" wrapText="1"/>
    </xf>
    <xf numFmtId="4" fontId="40" fillId="0" borderId="0" xfId="4" applyNumberFormat="1" applyFont="1" applyFill="1" applyBorder="1" applyAlignment="1" applyProtection="1">
      <alignment vertical="center"/>
      <protection hidden="1"/>
    </xf>
    <xf numFmtId="0" fontId="41" fillId="0" borderId="13" xfId="2" applyFont="1" applyFill="1" applyBorder="1" applyAlignment="1">
      <alignment horizontal="center" vertical="top" wrapText="1"/>
    </xf>
    <xf numFmtId="0" fontId="41" fillId="0" borderId="13" xfId="2" applyFont="1" applyFill="1" applyBorder="1" applyAlignment="1">
      <alignment horizontal="center" vertical="top"/>
    </xf>
    <xf numFmtId="4" fontId="41" fillId="0" borderId="13" xfId="2" applyNumberFormat="1" applyFont="1" applyFill="1" applyBorder="1" applyAlignment="1">
      <alignment horizontal="right" vertical="top"/>
    </xf>
    <xf numFmtId="4" fontId="41" fillId="0" borderId="13" xfId="2" applyNumberFormat="1" applyFont="1" applyFill="1" applyBorder="1" applyAlignment="1">
      <alignment horizontal="right" vertical="top" wrapText="1"/>
    </xf>
    <xf numFmtId="39" fontId="42" fillId="0" borderId="13" xfId="0" applyNumberFormat="1" applyFont="1" applyFill="1" applyBorder="1" applyAlignment="1" applyProtection="1">
      <alignment vertical="center"/>
      <protection hidden="1"/>
    </xf>
    <xf numFmtId="39" fontId="42" fillId="0" borderId="13" xfId="0" applyFont="1" applyFill="1" applyBorder="1" applyAlignment="1" applyProtection="1">
      <alignment vertical="center"/>
      <protection hidden="1"/>
    </xf>
    <xf numFmtId="0" fontId="42" fillId="0" borderId="0" xfId="4" applyFont="1" applyFill="1" applyBorder="1" applyAlignment="1" applyProtection="1">
      <alignment vertical="center"/>
      <protection hidden="1"/>
    </xf>
    <xf numFmtId="0" fontId="42" fillId="0" borderId="0" xfId="4" applyFont="1" applyFill="1" applyBorder="1" applyAlignment="1" applyProtection="1">
      <alignment horizontal="center" vertical="center"/>
      <protection hidden="1"/>
    </xf>
    <xf numFmtId="2" fontId="42" fillId="0" borderId="13" xfId="4" applyNumberFormat="1" applyFont="1" applyFill="1" applyBorder="1" applyAlignment="1" applyProtection="1">
      <alignment vertical="center"/>
      <protection hidden="1"/>
    </xf>
    <xf numFmtId="2" fontId="41" fillId="0" borderId="13" xfId="0" applyNumberFormat="1" applyFont="1" applyFill="1" applyBorder="1" applyAlignment="1">
      <alignment vertical="top"/>
    </xf>
    <xf numFmtId="0" fontId="42" fillId="0" borderId="13" xfId="4" applyFont="1" applyFill="1" applyBorder="1" applyAlignment="1" applyProtection="1">
      <alignment horizontal="center" vertical="center"/>
      <protection hidden="1"/>
    </xf>
    <xf numFmtId="164" fontId="42" fillId="0" borderId="13" xfId="11" applyFont="1" applyFill="1" applyBorder="1" applyAlignment="1" applyProtection="1">
      <alignment vertical="center"/>
      <protection hidden="1"/>
    </xf>
    <xf numFmtId="4" fontId="42" fillId="0" borderId="13" xfId="11" applyNumberFormat="1" applyFont="1" applyFill="1" applyBorder="1" applyAlignment="1" applyProtection="1">
      <alignment vertical="center"/>
      <protection hidden="1"/>
    </xf>
    <xf numFmtId="39" fontId="42" fillId="0" borderId="0" xfId="0" applyFont="1" applyFill="1" applyBorder="1" applyAlignment="1" applyProtection="1">
      <alignment vertical="center"/>
      <protection hidden="1"/>
    </xf>
    <xf numFmtId="0" fontId="42" fillId="0" borderId="0" xfId="4" applyFont="1" applyFill="1" applyBorder="1" applyAlignment="1" applyProtection="1">
      <alignment horizontal="center" vertical="center" wrapText="1"/>
      <protection hidden="1"/>
    </xf>
    <xf numFmtId="39" fontId="43" fillId="0" borderId="13" xfId="0" applyNumberFormat="1" applyFont="1" applyFill="1" applyBorder="1" applyAlignment="1">
      <alignment horizontal="center" vertical="center" wrapText="1"/>
    </xf>
    <xf numFmtId="4" fontId="44" fillId="0" borderId="13" xfId="0" applyNumberFormat="1" applyFont="1" applyFill="1" applyBorder="1" applyAlignment="1">
      <alignment horizontal="right" vertical="top"/>
    </xf>
    <xf numFmtId="164" fontId="44" fillId="0" borderId="13" xfId="3" applyNumberFormat="1" applyFont="1" applyFill="1" applyBorder="1" applyAlignment="1">
      <alignment horizontal="center" vertical="center" wrapText="1"/>
    </xf>
    <xf numFmtId="0" fontId="41" fillId="0" borderId="13" xfId="2" applyFont="1" applyFill="1" applyBorder="1" applyAlignment="1" applyProtection="1">
      <alignment horizontal="center" vertical="center"/>
      <protection hidden="1"/>
    </xf>
    <xf numFmtId="164" fontId="41" fillId="0" borderId="13" xfId="0" quotePrefix="1" applyNumberFormat="1" applyFont="1" applyFill="1" applyBorder="1" applyAlignment="1" applyProtection="1">
      <alignment horizontal="center" vertical="center"/>
      <protection locked="0"/>
    </xf>
    <xf numFmtId="4" fontId="41" fillId="0" borderId="13" xfId="2" applyNumberFormat="1" applyFont="1" applyFill="1" applyBorder="1" applyAlignment="1" applyProtection="1">
      <alignment vertical="center"/>
      <protection hidden="1"/>
    </xf>
    <xf numFmtId="39" fontId="41" fillId="0" borderId="13" xfId="2" applyNumberFormat="1" applyFont="1" applyFill="1" applyBorder="1" applyAlignment="1">
      <alignment horizontal="right" vertical="top"/>
    </xf>
    <xf numFmtId="0" fontId="45" fillId="0" borderId="0" xfId="4" applyFont="1" applyFill="1" applyBorder="1" applyAlignment="1" applyProtection="1">
      <alignment vertical="center"/>
      <protection hidden="1"/>
    </xf>
    <xf numFmtId="0" fontId="45" fillId="0" borderId="0" xfId="4" applyFont="1" applyFill="1" applyBorder="1" applyAlignment="1" applyProtection="1">
      <alignment horizontal="center" vertical="center"/>
      <protection hidden="1"/>
    </xf>
    <xf numFmtId="39" fontId="42" fillId="0" borderId="0" xfId="0" applyFont="1" applyFill="1" applyBorder="1" applyAlignment="1" applyProtection="1">
      <alignment horizontal="center" vertical="center"/>
      <protection hidden="1"/>
    </xf>
    <xf numFmtId="0" fontId="33" fillId="0" borderId="0" xfId="4" applyFont="1" applyFill="1" applyBorder="1" applyAlignment="1" applyProtection="1">
      <alignment vertical="center"/>
      <protection hidden="1"/>
    </xf>
    <xf numFmtId="0" fontId="16" fillId="4" borderId="13" xfId="4" applyFont="1" applyFill="1" applyBorder="1" applyAlignment="1" applyProtection="1">
      <alignment vertical="center"/>
      <protection hidden="1"/>
    </xf>
    <xf numFmtId="164" fontId="36" fillId="4" borderId="0" xfId="13" applyFont="1" applyFill="1" applyBorder="1" applyAlignment="1" applyProtection="1">
      <alignment vertical="center"/>
      <protection hidden="1"/>
    </xf>
    <xf numFmtId="0" fontId="18" fillId="4" borderId="13" xfId="4" applyFont="1" applyFill="1" applyBorder="1" applyAlignment="1" applyProtection="1">
      <alignment vertical="center"/>
      <protection hidden="1"/>
    </xf>
    <xf numFmtId="17" fontId="46" fillId="0" borderId="0" xfId="4" applyNumberFormat="1" applyFont="1" applyFill="1" applyBorder="1" applyAlignment="1" applyProtection="1">
      <alignment vertical="center"/>
      <protection hidden="1"/>
    </xf>
    <xf numFmtId="0" fontId="21" fillId="4" borderId="0" xfId="4" applyFont="1" applyFill="1" applyBorder="1" applyAlignment="1" applyProtection="1">
      <alignment horizontal="center" vertical="center" wrapText="1"/>
      <protection hidden="1"/>
    </xf>
    <xf numFmtId="9" fontId="30" fillId="4" borderId="0" xfId="9" applyNumberFormat="1" applyFont="1" applyFill="1" applyBorder="1" applyAlignment="1" applyProtection="1">
      <alignment vertical="center"/>
      <protection locked="0"/>
    </xf>
    <xf numFmtId="39" fontId="19" fillId="3" borderId="54" xfId="4" applyNumberFormat="1" applyFont="1" applyFill="1" applyBorder="1" applyAlignment="1" applyProtection="1">
      <alignment horizontal="center" vertical="center"/>
      <protection hidden="1"/>
    </xf>
    <xf numFmtId="0" fontId="21" fillId="2" borderId="26" xfId="4" applyFont="1" applyFill="1" applyBorder="1" applyAlignment="1" applyProtection="1">
      <alignment horizontal="center" vertical="center"/>
      <protection hidden="1"/>
    </xf>
    <xf numFmtId="0" fontId="19" fillId="2" borderId="26" xfId="4" applyFont="1" applyFill="1" applyBorder="1" applyAlignment="1" applyProtection="1">
      <alignment horizontal="center" vertical="center"/>
      <protection hidden="1"/>
    </xf>
    <xf numFmtId="0" fontId="21" fillId="2" borderId="26" xfId="4" applyFont="1" applyFill="1" applyBorder="1" applyAlignment="1" applyProtection="1">
      <alignment horizontal="center" vertical="center" wrapText="1"/>
      <protection hidden="1"/>
    </xf>
    <xf numFmtId="4" fontId="21" fillId="2" borderId="14" xfId="11" applyNumberFormat="1" applyFont="1" applyFill="1" applyBorder="1" applyAlignment="1" applyProtection="1">
      <alignment horizontal="right" vertical="center" wrapText="1"/>
      <protection hidden="1"/>
    </xf>
    <xf numFmtId="0" fontId="5" fillId="0" borderId="43" xfId="0" applyNumberFormat="1" applyFont="1" applyFill="1" applyBorder="1" applyAlignment="1">
      <alignment horizontal="left" vertical="top" wrapText="1"/>
    </xf>
    <xf numFmtId="164" fontId="21" fillId="2" borderId="14" xfId="11" applyFont="1" applyFill="1" applyBorder="1" applyAlignment="1" applyProtection="1">
      <alignment horizontal="right" vertical="center"/>
      <protection hidden="1"/>
    </xf>
    <xf numFmtId="39" fontId="5" fillId="0" borderId="43" xfId="2" applyNumberFormat="1" applyFont="1" applyFill="1" applyBorder="1" applyAlignment="1">
      <alignment horizontal="left" vertical="top" wrapText="1"/>
    </xf>
    <xf numFmtId="164" fontId="17" fillId="0" borderId="14" xfId="11" applyFont="1" applyFill="1" applyBorder="1" applyAlignment="1" applyProtection="1">
      <alignment horizontal="right" vertical="center"/>
      <protection hidden="1"/>
    </xf>
    <xf numFmtId="0" fontId="5" fillId="0" borderId="43" xfId="8" applyFont="1" applyFill="1" applyBorder="1" applyAlignment="1">
      <alignment horizontal="left" vertical="top" wrapText="1"/>
    </xf>
    <xf numFmtId="0" fontId="41" fillId="0" borderId="43" xfId="2" applyFont="1" applyFill="1" applyBorder="1" applyAlignment="1">
      <alignment horizontal="left" vertical="top" wrapText="1"/>
    </xf>
    <xf numFmtId="0" fontId="17" fillId="0" borderId="26" xfId="4" applyFont="1" applyFill="1" applyBorder="1" applyAlignment="1" applyProtection="1">
      <alignment vertical="center"/>
      <protection hidden="1"/>
    </xf>
    <xf numFmtId="164" fontId="19" fillId="2" borderId="14" xfId="4" applyNumberFormat="1" applyFont="1" applyFill="1" applyBorder="1" applyAlignment="1" applyProtection="1">
      <alignment horizontal="right" vertical="center"/>
      <protection hidden="1"/>
    </xf>
    <xf numFmtId="39" fontId="5" fillId="0" borderId="43" xfId="0" applyNumberFormat="1" applyFont="1" applyFill="1" applyBorder="1" applyAlignment="1">
      <alignment horizontal="left" vertical="top"/>
    </xf>
    <xf numFmtId="0" fontId="5" fillId="0" borderId="43" xfId="5" applyFont="1" applyFill="1" applyBorder="1" applyAlignment="1">
      <alignment horizontal="left" vertical="top" wrapText="1"/>
    </xf>
    <xf numFmtId="0" fontId="5" fillId="0" borderId="43" xfId="4" applyFont="1" applyFill="1" applyBorder="1" applyAlignment="1" applyProtection="1">
      <alignment vertical="center"/>
      <protection hidden="1"/>
    </xf>
    <xf numFmtId="0" fontId="9" fillId="0" borderId="43" xfId="4" applyFont="1" applyFill="1" applyBorder="1" applyAlignment="1" applyProtection="1">
      <alignment vertical="center"/>
      <protection hidden="1"/>
    </xf>
    <xf numFmtId="164" fontId="16" fillId="0" borderId="14" xfId="11" applyFont="1" applyFill="1" applyBorder="1" applyAlignment="1" applyProtection="1">
      <alignment horizontal="right" vertical="center"/>
      <protection hidden="1"/>
    </xf>
    <xf numFmtId="164" fontId="19" fillId="2" borderId="1" xfId="11" applyFont="1" applyFill="1" applyBorder="1" applyAlignment="1" applyProtection="1">
      <alignment horizontal="right" vertical="center"/>
      <protection hidden="1"/>
    </xf>
    <xf numFmtId="0" fontId="5" fillId="0" borderId="43" xfId="2" applyFont="1" applyFill="1" applyBorder="1" applyAlignment="1">
      <alignment horizontal="left" vertical="top" wrapText="1"/>
    </xf>
    <xf numFmtId="0" fontId="42" fillId="0" borderId="43" xfId="4" applyFont="1" applyFill="1" applyBorder="1" applyAlignment="1" applyProtection="1">
      <alignment vertical="center"/>
      <protection hidden="1"/>
    </xf>
    <xf numFmtId="39" fontId="5" fillId="0" borderId="43" xfId="0" applyFont="1" applyFill="1" applyBorder="1" applyAlignment="1">
      <alignment vertical="top"/>
    </xf>
    <xf numFmtId="0" fontId="16" fillId="0" borderId="26" xfId="4" applyFont="1" applyFill="1" applyBorder="1" applyAlignment="1" applyProtection="1">
      <alignment vertical="center"/>
      <protection hidden="1"/>
    </xf>
    <xf numFmtId="0" fontId="35" fillId="0" borderId="43" xfId="0" applyNumberFormat="1" applyFont="1" applyFill="1" applyBorder="1" applyAlignment="1">
      <alignment vertical="top" wrapText="1"/>
    </xf>
    <xf numFmtId="0" fontId="18" fillId="0" borderId="43" xfId="4" applyFont="1" applyFill="1" applyBorder="1" applyAlignment="1" applyProtection="1">
      <alignment vertical="center"/>
      <protection hidden="1"/>
    </xf>
    <xf numFmtId="0" fontId="5" fillId="0" borderId="43" xfId="0" applyNumberFormat="1" applyFont="1" applyFill="1" applyBorder="1" applyAlignment="1">
      <alignment vertical="top" wrapText="1"/>
    </xf>
    <xf numFmtId="0" fontId="5" fillId="0" borderId="43" xfId="4" applyFont="1" applyFill="1" applyBorder="1" applyAlignment="1">
      <alignment vertical="top" wrapText="1"/>
    </xf>
    <xf numFmtId="164" fontId="21" fillId="2" borderId="14" xfId="4" applyNumberFormat="1" applyFont="1" applyFill="1" applyBorder="1" applyAlignment="1" applyProtection="1">
      <alignment horizontal="right" vertical="center" wrapText="1"/>
      <protection hidden="1"/>
    </xf>
    <xf numFmtId="0" fontId="17" fillId="0" borderId="43" xfId="4" applyFont="1" applyFill="1" applyBorder="1" applyAlignment="1" applyProtection="1">
      <alignment vertical="center"/>
      <protection hidden="1"/>
    </xf>
    <xf numFmtId="39" fontId="42" fillId="0" borderId="43" xfId="0" applyFont="1" applyFill="1" applyBorder="1" applyAlignment="1" applyProtection="1">
      <alignment vertical="center" wrapText="1"/>
      <protection hidden="1"/>
    </xf>
    <xf numFmtId="39" fontId="16" fillId="0" borderId="43" xfId="0" applyFont="1" applyFill="1" applyBorder="1" applyAlignment="1" applyProtection="1">
      <alignment vertical="center"/>
      <protection hidden="1"/>
    </xf>
    <xf numFmtId="0" fontId="16" fillId="0" borderId="43" xfId="4" applyFont="1" applyFill="1" applyBorder="1" applyAlignment="1" applyProtection="1">
      <alignment vertical="center"/>
      <protection hidden="1"/>
    </xf>
    <xf numFmtId="0" fontId="37" fillId="4" borderId="43" xfId="4" applyFont="1" applyFill="1" applyBorder="1" applyAlignment="1" applyProtection="1">
      <alignment vertical="center"/>
      <protection hidden="1"/>
    </xf>
    <xf numFmtId="0" fontId="5" fillId="4" borderId="43" xfId="4" applyFont="1" applyFill="1" applyBorder="1" applyAlignment="1" applyProtection="1">
      <alignment vertical="center"/>
      <protection hidden="1"/>
    </xf>
    <xf numFmtId="164" fontId="20" fillId="2" borderId="14" xfId="4" applyNumberFormat="1" applyFont="1" applyFill="1" applyBorder="1" applyAlignment="1" applyProtection="1">
      <alignment vertical="center"/>
      <protection hidden="1"/>
    </xf>
    <xf numFmtId="39" fontId="5" fillId="0" borderId="43" xfId="0" applyNumberFormat="1" applyFont="1" applyFill="1" applyBorder="1" applyAlignment="1">
      <alignment vertical="center" wrapText="1"/>
    </xf>
    <xf numFmtId="39" fontId="41" fillId="0" borderId="43" xfId="0" applyNumberFormat="1" applyFont="1" applyFill="1" applyBorder="1" applyAlignment="1">
      <alignment vertical="center" wrapText="1"/>
    </xf>
    <xf numFmtId="0" fontId="41" fillId="0" borderId="43" xfId="2" applyFont="1" applyFill="1" applyBorder="1" applyAlignment="1" applyProtection="1">
      <alignment horizontal="left" vertical="center" wrapText="1"/>
      <protection hidden="1"/>
    </xf>
    <xf numFmtId="39" fontId="41" fillId="0" borderId="43" xfId="0" applyNumberFormat="1" applyFont="1" applyFill="1" applyBorder="1" applyAlignment="1" applyProtection="1">
      <alignment horizontal="left" vertical="center" wrapText="1"/>
      <protection hidden="1"/>
    </xf>
    <xf numFmtId="0" fontId="37" fillId="0" borderId="43" xfId="2" applyFont="1" applyFill="1" applyBorder="1" applyAlignment="1">
      <alignment horizontal="left" vertical="top" wrapText="1"/>
    </xf>
    <xf numFmtId="0" fontId="42" fillId="0" borderId="43" xfId="4" applyFont="1" applyFill="1" applyBorder="1" applyAlignment="1" applyProtection="1">
      <alignment vertical="center" wrapText="1"/>
      <protection hidden="1"/>
    </xf>
    <xf numFmtId="164" fontId="19" fillId="2" borderId="14" xfId="11" applyFont="1" applyFill="1" applyBorder="1" applyAlignment="1" applyProtection="1">
      <alignment horizontal="right" vertical="center"/>
      <protection hidden="1"/>
    </xf>
    <xf numFmtId="0" fontId="10" fillId="0" borderId="43" xfId="0" applyNumberFormat="1" applyFont="1" applyFill="1" applyBorder="1" applyAlignment="1">
      <alignment horizontal="justify" vertical="top" wrapText="1"/>
    </xf>
    <xf numFmtId="39" fontId="21" fillId="2" borderId="14" xfId="4" applyNumberFormat="1" applyFont="1" applyFill="1" applyBorder="1" applyAlignment="1" applyProtection="1">
      <alignment horizontal="right" vertical="center" wrapText="1"/>
      <protection hidden="1"/>
    </xf>
    <xf numFmtId="39" fontId="5" fillId="0" borderId="33" xfId="0" applyFont="1" applyBorder="1" applyAlignment="1" applyProtection="1">
      <alignment horizontal="center" vertical="center"/>
      <protection hidden="1"/>
    </xf>
    <xf numFmtId="0" fontId="42" fillId="0" borderId="13" xfId="4" applyFont="1" applyFill="1" applyBorder="1" applyAlignment="1" applyProtection="1">
      <alignment horizontal="center" vertical="center" wrapText="1"/>
      <protection hidden="1"/>
    </xf>
    <xf numFmtId="0" fontId="21" fillId="2" borderId="15" xfId="4" applyFont="1" applyFill="1" applyBorder="1" applyAlignment="1" applyProtection="1">
      <alignment horizontal="center" vertical="center"/>
      <protection hidden="1"/>
    </xf>
    <xf numFmtId="39" fontId="21" fillId="2" borderId="44" xfId="4" applyNumberFormat="1" applyFont="1" applyFill="1" applyBorder="1" applyAlignment="1" applyProtection="1">
      <alignment horizontal="right" vertical="center" wrapText="1"/>
      <protection hidden="1"/>
    </xf>
    <xf numFmtId="39" fontId="25" fillId="6" borderId="53" xfId="4" applyNumberFormat="1" applyFont="1" applyFill="1" applyBorder="1" applyAlignment="1" applyProtection="1">
      <alignment horizontal="right" vertical="center" wrapText="1"/>
      <protection hidden="1"/>
    </xf>
    <xf numFmtId="37" fontId="21" fillId="2" borderId="15" xfId="4" applyNumberFormat="1" applyFont="1" applyFill="1" applyBorder="1" applyAlignment="1" applyProtection="1">
      <alignment horizontal="center" vertical="center"/>
      <protection hidden="1"/>
    </xf>
    <xf numFmtId="0" fontId="5" fillId="0" borderId="15" xfId="2" applyFont="1" applyFill="1" applyBorder="1" applyAlignment="1">
      <alignment horizontal="center" vertical="top"/>
    </xf>
    <xf numFmtId="39" fontId="5" fillId="0" borderId="15" xfId="2" applyNumberFormat="1" applyFont="1" applyFill="1" applyBorder="1" applyAlignment="1">
      <alignment horizontal="center" vertical="top" wrapText="1"/>
    </xf>
    <xf numFmtId="39" fontId="41" fillId="0" borderId="15" xfId="2" applyNumberFormat="1" applyFont="1" applyFill="1" applyBorder="1" applyAlignment="1">
      <alignment horizontal="center" vertical="top" wrapText="1"/>
    </xf>
    <xf numFmtId="0" fontId="19" fillId="2" borderId="15" xfId="4" applyFont="1" applyFill="1" applyBorder="1" applyAlignment="1" applyProtection="1">
      <alignment horizontal="center" vertical="center"/>
      <protection hidden="1"/>
    </xf>
    <xf numFmtId="0" fontId="5" fillId="0" borderId="15" xfId="0" applyNumberFormat="1" applyFont="1" applyFill="1" applyBorder="1" applyAlignment="1">
      <alignment horizontal="center" vertical="top"/>
    </xf>
    <xf numFmtId="0" fontId="41" fillId="0" borderId="15" xfId="2" applyFont="1" applyFill="1" applyBorder="1" applyAlignment="1">
      <alignment horizontal="center" vertical="top"/>
    </xf>
    <xf numFmtId="0" fontId="21" fillId="2" borderId="15" xfId="4" applyFont="1" applyFill="1" applyBorder="1" applyAlignment="1" applyProtection="1">
      <alignment horizontal="center" vertical="center" wrapText="1"/>
      <protection hidden="1"/>
    </xf>
    <xf numFmtId="39" fontId="12" fillId="2" borderId="15" xfId="0" applyFont="1" applyFill="1" applyBorder="1" applyAlignment="1">
      <alignment horizontal="center" vertical="center"/>
    </xf>
    <xf numFmtId="39" fontId="13" fillId="0" borderId="15" xfId="0" applyNumberFormat="1" applyFont="1" applyFill="1" applyBorder="1" applyAlignment="1">
      <alignment horizontal="center" vertical="center" wrapText="1"/>
    </xf>
    <xf numFmtId="39" fontId="43" fillId="0" borderId="15" xfId="0" applyNumberFormat="1" applyFont="1" applyFill="1" applyBorder="1" applyAlignment="1">
      <alignment horizontal="center" vertical="center" wrapText="1"/>
    </xf>
    <xf numFmtId="37" fontId="19" fillId="2" borderId="15" xfId="0" applyNumberFormat="1" applyFont="1" applyFill="1" applyBorder="1" applyAlignment="1" applyProtection="1">
      <alignment horizontal="center" vertical="center"/>
      <protection hidden="1"/>
    </xf>
    <xf numFmtId="0" fontId="17" fillId="0" borderId="15" xfId="4" applyFont="1" applyFill="1" applyBorder="1" applyAlignment="1" applyProtection="1">
      <alignment horizontal="center" vertical="center"/>
      <protection hidden="1"/>
    </xf>
    <xf numFmtId="0" fontId="42" fillId="0" borderId="15" xfId="4" applyFont="1" applyFill="1" applyBorder="1" applyAlignment="1" applyProtection="1">
      <alignment horizontal="center" vertical="center"/>
      <protection hidden="1"/>
    </xf>
    <xf numFmtId="164" fontId="21" fillId="2" borderId="7" xfId="11" applyFont="1" applyFill="1" applyBorder="1" applyAlignment="1" applyProtection="1">
      <alignment horizontal="center" vertical="center" wrapText="1"/>
      <protection hidden="1"/>
    </xf>
    <xf numFmtId="0" fontId="21" fillId="2" borderId="15" xfId="4" applyFont="1" applyFill="1" applyBorder="1" applyAlignment="1" applyProtection="1">
      <alignment horizontal="left" vertical="center"/>
      <protection hidden="1"/>
    </xf>
    <xf numFmtId="0" fontId="21" fillId="2" borderId="16" xfId="4" applyFont="1" applyFill="1" applyBorder="1" applyAlignment="1" applyProtection="1">
      <alignment horizontal="left" vertical="center"/>
      <protection hidden="1"/>
    </xf>
    <xf numFmtId="0" fontId="21" fillId="2" borderId="11" xfId="4" applyFont="1" applyFill="1" applyBorder="1" applyAlignment="1" applyProtection="1">
      <alignment horizontal="left" vertical="center"/>
      <protection hidden="1"/>
    </xf>
    <xf numFmtId="0" fontId="5" fillId="0" borderId="15" xfId="2" applyFont="1" applyFill="1" applyBorder="1" applyAlignment="1">
      <alignment horizontal="center" vertical="top"/>
    </xf>
    <xf numFmtId="0" fontId="5" fillId="0" borderId="16" xfId="2" applyFont="1" applyFill="1" applyBorder="1" applyAlignment="1">
      <alignment horizontal="center" vertical="top"/>
    </xf>
    <xf numFmtId="0" fontId="5" fillId="0" borderId="17" xfId="2" applyFont="1" applyFill="1" applyBorder="1" applyAlignment="1">
      <alignment horizontal="center" vertical="top"/>
    </xf>
    <xf numFmtId="39" fontId="5" fillId="2" borderId="18" xfId="2" applyNumberFormat="1" applyFont="1" applyFill="1" applyBorder="1" applyAlignment="1">
      <alignment horizontal="center" vertical="top" wrapText="1"/>
    </xf>
    <xf numFmtId="39" fontId="5" fillId="2" borderId="19" xfId="2" applyNumberFormat="1" applyFont="1" applyFill="1" applyBorder="1" applyAlignment="1">
      <alignment horizontal="center" vertical="top" wrapText="1"/>
    </xf>
    <xf numFmtId="39" fontId="5" fillId="2" borderId="26" xfId="2" applyNumberFormat="1" applyFont="1" applyFill="1" applyBorder="1" applyAlignment="1">
      <alignment horizontal="center" vertical="top" wrapText="1"/>
    </xf>
    <xf numFmtId="39" fontId="5" fillId="2" borderId="0" xfId="2" applyNumberFormat="1" applyFont="1" applyFill="1" applyBorder="1" applyAlignment="1">
      <alignment horizontal="center" vertical="top" wrapText="1"/>
    </xf>
    <xf numFmtId="39" fontId="5" fillId="2" borderId="55" xfId="2" applyNumberFormat="1" applyFont="1" applyFill="1" applyBorder="1" applyAlignment="1">
      <alignment horizontal="center" vertical="top" wrapText="1"/>
    </xf>
    <xf numFmtId="39" fontId="5" fillId="2" borderId="33" xfId="2" applyNumberFormat="1" applyFont="1" applyFill="1" applyBorder="1" applyAlignment="1">
      <alignment horizontal="center" vertical="top" wrapText="1"/>
    </xf>
    <xf numFmtId="164" fontId="17" fillId="0" borderId="44" xfId="11" applyFont="1" applyFill="1" applyBorder="1" applyAlignment="1" applyProtection="1">
      <alignment horizontal="center" vertical="center"/>
      <protection hidden="1"/>
    </xf>
    <xf numFmtId="164" fontId="17" fillId="0" borderId="1" xfId="11" applyFont="1" applyFill="1" applyBorder="1" applyAlignment="1" applyProtection="1">
      <alignment horizontal="center" vertical="center"/>
      <protection hidden="1"/>
    </xf>
    <xf numFmtId="164" fontId="17" fillId="0" borderId="45" xfId="11" applyFont="1" applyFill="1" applyBorder="1" applyAlignment="1" applyProtection="1">
      <alignment horizontal="center" vertical="center"/>
      <protection hidden="1"/>
    </xf>
    <xf numFmtId="0" fontId="34" fillId="0" borderId="44" xfId="4" applyFont="1" applyFill="1" applyBorder="1" applyAlignment="1" applyProtection="1">
      <alignment horizontal="center" vertical="center"/>
      <protection hidden="1"/>
    </xf>
    <xf numFmtId="0" fontId="34" fillId="0" borderId="1" xfId="4" applyFont="1" applyFill="1" applyBorder="1" applyAlignment="1" applyProtection="1">
      <alignment horizontal="center" vertical="center"/>
      <protection hidden="1"/>
    </xf>
    <xf numFmtId="0" fontId="34" fillId="0" borderId="45" xfId="4" applyFont="1" applyFill="1" applyBorder="1" applyAlignment="1" applyProtection="1">
      <alignment horizontal="center" vertical="center"/>
      <protection hidden="1"/>
    </xf>
    <xf numFmtId="0" fontId="17" fillId="0" borderId="44" xfId="4" applyFont="1" applyFill="1" applyBorder="1" applyAlignment="1" applyProtection="1">
      <alignment horizontal="center" vertical="center"/>
      <protection hidden="1"/>
    </xf>
    <xf numFmtId="0" fontId="17" fillId="0" borderId="1" xfId="4" applyFont="1" applyFill="1" applyBorder="1" applyAlignment="1" applyProtection="1">
      <alignment horizontal="center" vertical="center"/>
      <protection hidden="1"/>
    </xf>
    <xf numFmtId="0" fontId="17" fillId="0" borderId="45" xfId="4" applyFont="1" applyFill="1" applyBorder="1" applyAlignment="1" applyProtection="1">
      <alignment horizontal="center" vertical="center"/>
      <protection hidden="1"/>
    </xf>
    <xf numFmtId="164" fontId="16" fillId="0" borderId="44" xfId="11" applyFont="1" applyFill="1" applyBorder="1" applyAlignment="1" applyProtection="1">
      <alignment horizontal="center" vertical="center"/>
      <protection hidden="1"/>
    </xf>
    <xf numFmtId="164" fontId="16" fillId="0" borderId="1" xfId="11" applyFont="1" applyFill="1" applyBorder="1" applyAlignment="1" applyProtection="1">
      <alignment horizontal="center" vertical="center"/>
      <protection hidden="1"/>
    </xf>
    <xf numFmtId="164" fontId="16" fillId="0" borderId="45" xfId="11" applyFont="1" applyFill="1" applyBorder="1" applyAlignment="1" applyProtection="1">
      <alignment horizontal="center" vertical="center"/>
      <protection hidden="1"/>
    </xf>
    <xf numFmtId="39" fontId="16" fillId="0" borderId="44" xfId="0" applyFont="1" applyFill="1" applyBorder="1" applyAlignment="1" applyProtection="1">
      <alignment horizontal="center" vertical="center"/>
      <protection hidden="1"/>
    </xf>
    <xf numFmtId="39" fontId="16" fillId="0" borderId="1" xfId="0" applyFont="1" applyFill="1" applyBorder="1" applyAlignment="1" applyProtection="1">
      <alignment horizontal="center" vertical="center"/>
      <protection hidden="1"/>
    </xf>
    <xf numFmtId="39" fontId="16" fillId="0" borderId="45" xfId="0" applyFont="1" applyFill="1" applyBorder="1" applyAlignment="1" applyProtection="1">
      <alignment horizontal="center" vertical="center"/>
      <protection hidden="1"/>
    </xf>
    <xf numFmtId="164" fontId="16" fillId="0" borderId="27" xfId="11" applyFont="1" applyFill="1" applyBorder="1" applyAlignment="1" applyProtection="1">
      <alignment horizontal="center" vertical="center"/>
      <protection hidden="1"/>
    </xf>
    <xf numFmtId="164" fontId="16" fillId="0" borderId="36" xfId="11" applyFont="1" applyFill="1" applyBorder="1" applyAlignment="1" applyProtection="1">
      <alignment horizontal="center" vertical="center"/>
      <protection hidden="1"/>
    </xf>
    <xf numFmtId="164" fontId="16" fillId="0" borderId="10" xfId="11" applyFont="1" applyFill="1" applyBorder="1" applyAlignment="1" applyProtection="1">
      <alignment horizontal="center" vertical="center"/>
      <protection hidden="1"/>
    </xf>
    <xf numFmtId="39" fontId="27" fillId="0" borderId="43" xfId="0" applyNumberFormat="1" applyFont="1" applyFill="1" applyBorder="1" applyAlignment="1" applyProtection="1">
      <alignment horizontal="center" vertical="center"/>
      <protection hidden="1"/>
    </xf>
    <xf numFmtId="10" fontId="27" fillId="0" borderId="13" xfId="9" applyNumberFormat="1" applyFont="1" applyFill="1" applyBorder="1" applyAlignment="1" applyProtection="1">
      <alignment horizontal="center" vertical="center"/>
      <protection hidden="1"/>
    </xf>
    <xf numFmtId="39" fontId="27" fillId="0" borderId="52" xfId="2" applyNumberFormat="1" applyFont="1" applyFill="1" applyBorder="1" applyAlignment="1" applyProtection="1">
      <alignment horizontal="center" vertical="center"/>
      <protection hidden="1"/>
    </xf>
    <xf numFmtId="39" fontId="27" fillId="0" borderId="32" xfId="2" applyNumberFormat="1" applyFont="1" applyFill="1" applyBorder="1" applyAlignment="1" applyProtection="1">
      <alignment horizontal="center" vertical="center"/>
      <protection hidden="1"/>
    </xf>
    <xf numFmtId="39" fontId="27" fillId="0" borderId="48" xfId="2" applyNumberFormat="1" applyFont="1" applyFill="1" applyBorder="1" applyAlignment="1" applyProtection="1">
      <alignment horizontal="center" vertical="center" wrapText="1"/>
      <protection hidden="1"/>
    </xf>
    <xf numFmtId="39" fontId="27" fillId="0" borderId="49" xfId="2" applyNumberFormat="1" applyFont="1" applyFill="1" applyBorder="1" applyAlignment="1" applyProtection="1">
      <alignment horizontal="center" vertical="center" wrapText="1"/>
      <protection hidden="1"/>
    </xf>
    <xf numFmtId="39" fontId="27" fillId="0" borderId="21" xfId="2" applyNumberFormat="1" applyFont="1" applyFill="1" applyBorder="1" applyAlignment="1" applyProtection="1">
      <alignment horizontal="center" vertical="center" wrapText="1"/>
      <protection hidden="1"/>
    </xf>
    <xf numFmtId="166" fontId="27" fillId="0" borderId="14" xfId="13" applyNumberFormat="1" applyFont="1" applyFill="1" applyBorder="1" applyAlignment="1" applyProtection="1">
      <alignment horizontal="center" vertical="center" wrapText="1"/>
      <protection hidden="1"/>
    </xf>
    <xf numFmtId="166" fontId="27" fillId="0" borderId="14" xfId="0" applyNumberFormat="1" applyFont="1" applyFill="1" applyBorder="1" applyAlignment="1" applyProtection="1">
      <alignment horizontal="center" vertical="center"/>
      <protection hidden="1"/>
    </xf>
    <xf numFmtId="39" fontId="27" fillId="3" borderId="50" xfId="0" applyNumberFormat="1" applyFont="1" applyFill="1" applyBorder="1" applyAlignment="1" applyProtection="1">
      <alignment horizontal="center" vertical="center"/>
      <protection hidden="1"/>
    </xf>
    <xf numFmtId="39" fontId="27" fillId="3" borderId="51" xfId="0" applyNumberFormat="1" applyFont="1" applyFill="1" applyBorder="1" applyAlignment="1" applyProtection="1">
      <alignment horizontal="center" vertical="center"/>
      <protection hidden="1"/>
    </xf>
    <xf numFmtId="39" fontId="27" fillId="3" borderId="29" xfId="0" applyNumberFormat="1" applyFont="1" applyFill="1" applyBorder="1" applyAlignment="1" applyProtection="1">
      <alignment horizontal="center" vertical="center"/>
      <protection hidden="1"/>
    </xf>
    <xf numFmtId="166" fontId="27" fillId="0" borderId="44" xfId="0" applyNumberFormat="1" applyFont="1" applyFill="1" applyBorder="1" applyAlignment="1" applyProtection="1">
      <alignment horizontal="center" vertical="center"/>
      <protection hidden="1"/>
    </xf>
    <xf numFmtId="166" fontId="27" fillId="0" borderId="45" xfId="0" applyNumberFormat="1" applyFont="1" applyFill="1" applyBorder="1" applyAlignment="1" applyProtection="1">
      <alignment horizontal="center" vertical="center"/>
      <protection hidden="1"/>
    </xf>
    <xf numFmtId="166" fontId="27" fillId="0" borderId="0" xfId="0" applyNumberFormat="1" applyFont="1" applyFill="1" applyBorder="1" applyAlignment="1" applyProtection="1">
      <alignment horizontal="center" vertical="center"/>
      <protection hidden="1"/>
    </xf>
    <xf numFmtId="39" fontId="27" fillId="0" borderId="46" xfId="2" applyNumberFormat="1" applyFont="1" applyFill="1" applyBorder="1" applyAlignment="1" applyProtection="1">
      <alignment horizontal="center" vertical="center"/>
      <protection hidden="1"/>
    </xf>
    <xf numFmtId="39" fontId="27" fillId="0" borderId="47" xfId="2" applyNumberFormat="1" applyFont="1" applyFill="1" applyBorder="1" applyAlignment="1" applyProtection="1">
      <alignment horizontal="center" vertical="center"/>
      <protection hidden="1"/>
    </xf>
    <xf numFmtId="39" fontId="27" fillId="3" borderId="28" xfId="0" applyNumberFormat="1" applyFont="1" applyFill="1" applyBorder="1" applyAlignment="1" applyProtection="1">
      <alignment horizontal="center" vertical="center"/>
      <protection hidden="1"/>
    </xf>
    <xf numFmtId="39" fontId="27" fillId="3" borderId="30" xfId="0" applyNumberFormat="1" applyFont="1" applyFill="1" applyBorder="1" applyAlignment="1" applyProtection="1">
      <alignment horizontal="center" vertical="center"/>
      <protection hidden="1"/>
    </xf>
  </cellXfs>
  <cellStyles count="14">
    <cellStyle name="0,0_x000d_&#10;NA_x000d_&#10;" xfId="1"/>
    <cellStyle name="Excel Built-in Normal" xfId="2"/>
    <cellStyle name="Moeda" xfId="3" builtinId="4"/>
    <cellStyle name="Normal" xfId="0" builtinId="0"/>
    <cellStyle name="Normal 2" xfId="4"/>
    <cellStyle name="Normal 2 2 2" xfId="5"/>
    <cellStyle name="Normal 2_ORÇ" xfId="6"/>
    <cellStyle name="Normal 3" xfId="7"/>
    <cellStyle name="Normal_#" xfId="8"/>
    <cellStyle name="Porcentagem" xfId="9" builtinId="5"/>
    <cellStyle name="Porcentagem 2" xfId="10"/>
    <cellStyle name="Separador de milhares" xfId="13" builtinId="3"/>
    <cellStyle name="Separador de milhares 2" xfId="11"/>
    <cellStyle name="Separador de milhares 3 2" xfId="12"/>
  </cellStyles>
  <dxfs count="10"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98"/>
  <sheetViews>
    <sheetView tabSelected="1" view="pageBreakPreview" zoomScale="70" zoomScaleNormal="90" zoomScaleSheetLayoutView="70" workbookViewId="0">
      <pane ySplit="6" topLeftCell="A175" activePane="bottomLeft" state="frozen"/>
      <selection pane="bottomLeft" activeCell="E195" sqref="E195"/>
    </sheetView>
  </sheetViews>
  <sheetFormatPr defaultRowHeight="20.100000000000001" customHeight="1"/>
  <cols>
    <col min="1" max="1" width="6" style="3" customWidth="1"/>
    <col min="2" max="2" width="91.125" style="2" customWidth="1"/>
    <col min="3" max="3" width="34.5" style="3" bestFit="1" customWidth="1"/>
    <col min="4" max="4" width="6.25" style="3" customWidth="1"/>
    <col min="5" max="5" width="10.75" style="4" customWidth="1"/>
    <col min="6" max="6" width="12.625" style="5" customWidth="1"/>
    <col min="7" max="7" width="16.25" style="4" customWidth="1"/>
    <col min="8" max="8" width="12.875" style="6" customWidth="1"/>
    <col min="9" max="9" width="10" style="7" customWidth="1"/>
    <col min="10" max="10" width="4.375" style="3" customWidth="1"/>
    <col min="11" max="11" width="9.75" style="7" bestFit="1" customWidth="1"/>
    <col min="12" max="16384" width="9" style="7"/>
  </cols>
  <sheetData>
    <row r="1" spans="1:10" ht="20.100000000000001" customHeight="1">
      <c r="A1" s="1" t="s">
        <v>43</v>
      </c>
    </row>
    <row r="2" spans="1:10" ht="20.100000000000001" customHeight="1">
      <c r="A2" s="1" t="s">
        <v>41</v>
      </c>
    </row>
    <row r="3" spans="1:10" ht="20.100000000000001" customHeight="1">
      <c r="A3" s="1" t="s">
        <v>42</v>
      </c>
    </row>
    <row r="4" spans="1:10" ht="20.100000000000001" customHeight="1">
      <c r="A4" s="1"/>
    </row>
    <row r="5" spans="1:10" s="131" customFormat="1" ht="16.5" customHeight="1" thickBot="1">
      <c r="A5" s="125" t="s">
        <v>279</v>
      </c>
      <c r="B5" s="126"/>
      <c r="C5" s="283"/>
      <c r="D5" s="127"/>
      <c r="E5" s="128"/>
      <c r="F5" s="129"/>
      <c r="G5" s="128"/>
      <c r="H5" s="130"/>
      <c r="J5" s="127"/>
    </row>
    <row r="6" spans="1:10" s="13" customFormat="1" ht="50.25" customHeight="1">
      <c r="A6" s="239" t="s">
        <v>10</v>
      </c>
      <c r="B6" s="148" t="s">
        <v>24</v>
      </c>
      <c r="C6" s="149"/>
      <c r="D6" s="148" t="s">
        <v>25</v>
      </c>
      <c r="E6" s="150" t="s">
        <v>26</v>
      </c>
      <c r="F6" s="151" t="s">
        <v>463</v>
      </c>
      <c r="G6" s="152" t="s">
        <v>44</v>
      </c>
      <c r="H6" s="153" t="s">
        <v>45</v>
      </c>
      <c r="J6" s="8"/>
    </row>
    <row r="7" spans="1:10" s="10" customFormat="1" ht="15.75" customHeight="1">
      <c r="A7" s="288" t="s">
        <v>485</v>
      </c>
      <c r="B7" s="303" t="s">
        <v>197</v>
      </c>
      <c r="C7" s="304"/>
      <c r="D7" s="304"/>
      <c r="E7" s="304"/>
      <c r="F7" s="304"/>
      <c r="G7" s="305"/>
      <c r="H7" s="243">
        <f>SUM(G8:G15)</f>
        <v>12661.136999999999</v>
      </c>
      <c r="I7" s="9"/>
      <c r="J7" s="192"/>
    </row>
    <row r="8" spans="1:10" s="10" customFormat="1" ht="15.75" customHeight="1">
      <c r="A8" s="289" t="s">
        <v>2</v>
      </c>
      <c r="B8" s="244" t="s">
        <v>175</v>
      </c>
      <c r="C8" s="155"/>
      <c r="D8" s="154" t="s">
        <v>28</v>
      </c>
      <c r="E8" s="156">
        <v>764.1</v>
      </c>
      <c r="F8" s="156">
        <v>4.42</v>
      </c>
      <c r="G8" s="157">
        <f t="shared" ref="G8:G14" si="0">F8*E8</f>
        <v>3377.3220000000001</v>
      </c>
      <c r="H8" s="327"/>
      <c r="I8" s="9"/>
      <c r="J8" s="11"/>
    </row>
    <row r="9" spans="1:10" s="10" customFormat="1" ht="15.75" customHeight="1">
      <c r="A9" s="289" t="s">
        <v>3</v>
      </c>
      <c r="B9" s="244" t="s">
        <v>176</v>
      </c>
      <c r="C9" s="155"/>
      <c r="D9" s="154" t="s">
        <v>28</v>
      </c>
      <c r="E9" s="156">
        <v>764.1</v>
      </c>
      <c r="F9" s="156">
        <v>5.5</v>
      </c>
      <c r="G9" s="157">
        <f t="shared" si="0"/>
        <v>4202.55</v>
      </c>
      <c r="H9" s="328"/>
      <c r="I9" s="9"/>
      <c r="J9" s="11"/>
    </row>
    <row r="10" spans="1:10" s="10" customFormat="1" ht="15.75" customHeight="1">
      <c r="A10" s="289" t="s">
        <v>4</v>
      </c>
      <c r="B10" s="244" t="s">
        <v>101</v>
      </c>
      <c r="C10" s="155"/>
      <c r="D10" s="154" t="s">
        <v>28</v>
      </c>
      <c r="E10" s="156">
        <v>764.1</v>
      </c>
      <c r="F10" s="156">
        <v>2.2000000000000002</v>
      </c>
      <c r="G10" s="157">
        <f t="shared" si="0"/>
        <v>1681.0200000000002</v>
      </c>
      <c r="H10" s="328"/>
      <c r="I10" s="9"/>
      <c r="J10" s="11"/>
    </row>
    <row r="11" spans="1:10" s="10" customFormat="1" ht="15.75" customHeight="1">
      <c r="A11" s="289" t="s">
        <v>93</v>
      </c>
      <c r="B11" s="244" t="s">
        <v>102</v>
      </c>
      <c r="C11" s="155"/>
      <c r="D11" s="154" t="s">
        <v>28</v>
      </c>
      <c r="E11" s="156">
        <v>764.1</v>
      </c>
      <c r="F11" s="156">
        <v>0.78</v>
      </c>
      <c r="G11" s="157">
        <f t="shared" si="0"/>
        <v>595.99800000000005</v>
      </c>
      <c r="H11" s="328"/>
      <c r="I11" s="9"/>
      <c r="J11" s="11"/>
    </row>
    <row r="12" spans="1:10" s="10" customFormat="1" ht="15.75" customHeight="1">
      <c r="A12" s="289" t="s">
        <v>94</v>
      </c>
      <c r="B12" s="244" t="s">
        <v>47</v>
      </c>
      <c r="C12" s="155"/>
      <c r="D12" s="154" t="s">
        <v>28</v>
      </c>
      <c r="E12" s="156">
        <v>764.1</v>
      </c>
      <c r="F12" s="156">
        <v>0.78</v>
      </c>
      <c r="G12" s="157">
        <f t="shared" si="0"/>
        <v>595.99800000000005</v>
      </c>
      <c r="H12" s="328"/>
      <c r="I12" s="9"/>
      <c r="J12" s="11"/>
    </row>
    <row r="13" spans="1:10" s="10" customFormat="1" ht="15.75" customHeight="1">
      <c r="A13" s="289" t="s">
        <v>103</v>
      </c>
      <c r="B13" s="244" t="s">
        <v>321</v>
      </c>
      <c r="C13" s="155"/>
      <c r="D13" s="154" t="s">
        <v>28</v>
      </c>
      <c r="E13" s="156">
        <v>764.1</v>
      </c>
      <c r="F13" s="156">
        <v>0.39</v>
      </c>
      <c r="G13" s="157">
        <f t="shared" si="0"/>
        <v>297.99900000000002</v>
      </c>
      <c r="H13" s="328"/>
      <c r="I13" s="9"/>
      <c r="J13" s="11"/>
    </row>
    <row r="14" spans="1:10" s="10" customFormat="1" ht="15.75" customHeight="1">
      <c r="A14" s="289" t="s">
        <v>104</v>
      </c>
      <c r="B14" s="244" t="s">
        <v>50</v>
      </c>
      <c r="C14" s="155"/>
      <c r="D14" s="154" t="s">
        <v>28</v>
      </c>
      <c r="E14" s="156">
        <v>764.1</v>
      </c>
      <c r="F14" s="156">
        <v>2.5</v>
      </c>
      <c r="G14" s="157">
        <f t="shared" si="0"/>
        <v>1910.25</v>
      </c>
      <c r="H14" s="329"/>
      <c r="I14" s="9"/>
      <c r="J14" s="11"/>
    </row>
    <row r="15" spans="1:10" s="10" customFormat="1" ht="15.75" customHeight="1">
      <c r="A15" s="306"/>
      <c r="B15" s="307"/>
      <c r="C15" s="307"/>
      <c r="D15" s="307"/>
      <c r="E15" s="307"/>
      <c r="F15" s="307"/>
      <c r="G15" s="307"/>
      <c r="H15" s="308"/>
      <c r="I15" s="9"/>
      <c r="J15" s="11"/>
    </row>
    <row r="16" spans="1:10" s="10" customFormat="1" ht="15.75" customHeight="1">
      <c r="A16" s="285" t="s">
        <v>486</v>
      </c>
      <c r="B16" s="303" t="s">
        <v>27</v>
      </c>
      <c r="C16" s="304"/>
      <c r="D16" s="304"/>
      <c r="E16" s="304"/>
      <c r="F16" s="304"/>
      <c r="G16" s="305"/>
      <c r="H16" s="245">
        <f>SUM(G17:G21)</f>
        <v>13125.043999999998</v>
      </c>
      <c r="I16" s="9"/>
      <c r="J16" s="11"/>
    </row>
    <row r="17" spans="1:10" s="10" customFormat="1" ht="15.75" customHeight="1">
      <c r="A17" s="290" t="s">
        <v>187</v>
      </c>
      <c r="B17" s="246" t="s">
        <v>198</v>
      </c>
      <c r="C17" s="159" t="s">
        <v>95</v>
      </c>
      <c r="D17" s="154" t="s">
        <v>28</v>
      </c>
      <c r="E17" s="157">
        <v>8</v>
      </c>
      <c r="F17" s="157">
        <v>142.52000000000001</v>
      </c>
      <c r="G17" s="157">
        <f>F17*E17</f>
        <v>1140.1600000000001</v>
      </c>
      <c r="H17" s="315"/>
      <c r="I17" s="9"/>
      <c r="J17" s="11"/>
    </row>
    <row r="18" spans="1:10" ht="15.75" customHeight="1">
      <c r="A18" s="290" t="s">
        <v>178</v>
      </c>
      <c r="B18" s="244" t="s">
        <v>199</v>
      </c>
      <c r="C18" s="191" t="s">
        <v>177</v>
      </c>
      <c r="D18" s="159" t="s">
        <v>1</v>
      </c>
      <c r="E18" s="156">
        <v>120</v>
      </c>
      <c r="F18" s="156">
        <v>4.51</v>
      </c>
      <c r="G18" s="157">
        <f>F18*E18</f>
        <v>541.19999999999993</v>
      </c>
      <c r="H18" s="316"/>
      <c r="J18" s="192"/>
    </row>
    <row r="19" spans="1:10" ht="15.75" customHeight="1">
      <c r="A19" s="290" t="s">
        <v>292</v>
      </c>
      <c r="B19" s="248" t="s">
        <v>48</v>
      </c>
      <c r="C19" s="160" t="s">
        <v>96</v>
      </c>
      <c r="D19" s="154" t="s">
        <v>28</v>
      </c>
      <c r="E19" s="157">
        <v>4</v>
      </c>
      <c r="F19" s="157">
        <v>195.61</v>
      </c>
      <c r="G19" s="157">
        <f>F19*E19</f>
        <v>782.44</v>
      </c>
      <c r="H19" s="316"/>
    </row>
    <row r="20" spans="1:10" s="213" customFormat="1" ht="15.75" customHeight="1">
      <c r="A20" s="291" t="s">
        <v>293</v>
      </c>
      <c r="B20" s="249" t="s">
        <v>99</v>
      </c>
      <c r="C20" s="207"/>
      <c r="D20" s="208" t="s">
        <v>97</v>
      </c>
      <c r="E20" s="209">
        <v>6</v>
      </c>
      <c r="F20" s="209">
        <f>1520.76*1.15</f>
        <v>1748.8739999999998</v>
      </c>
      <c r="G20" s="210">
        <f>F20*E20</f>
        <v>10493.243999999999</v>
      </c>
      <c r="H20" s="316"/>
      <c r="J20" s="214"/>
    </row>
    <row r="21" spans="1:10" ht="15.75" customHeight="1">
      <c r="A21" s="290" t="s">
        <v>294</v>
      </c>
      <c r="B21" s="244" t="s">
        <v>201</v>
      </c>
      <c r="C21" s="191" t="s">
        <v>200</v>
      </c>
      <c r="D21" s="159" t="s">
        <v>28</v>
      </c>
      <c r="E21" s="156">
        <v>700</v>
      </c>
      <c r="F21" s="156">
        <v>0.24</v>
      </c>
      <c r="G21" s="157">
        <f>F21*E21</f>
        <v>168</v>
      </c>
      <c r="H21" s="317"/>
    </row>
    <row r="22" spans="1:10" ht="15.75" customHeight="1">
      <c r="A22" s="306"/>
      <c r="B22" s="307"/>
      <c r="C22" s="307"/>
      <c r="D22" s="307"/>
      <c r="E22" s="307"/>
      <c r="F22" s="307"/>
      <c r="G22" s="307"/>
      <c r="H22" s="308"/>
    </row>
    <row r="23" spans="1:10" s="10" customFormat="1" ht="15.75" customHeight="1">
      <c r="A23" s="292" t="s">
        <v>487</v>
      </c>
      <c r="B23" s="303" t="s">
        <v>35</v>
      </c>
      <c r="C23" s="304"/>
      <c r="D23" s="304"/>
      <c r="E23" s="304"/>
      <c r="F23" s="304"/>
      <c r="G23" s="305"/>
      <c r="H23" s="251">
        <f>SUM(G24:G24)</f>
        <v>463.2</v>
      </c>
      <c r="I23" s="9"/>
      <c r="J23" s="12"/>
    </row>
    <row r="24" spans="1:10" ht="15.75" customHeight="1">
      <c r="A24" s="293" t="s">
        <v>0</v>
      </c>
      <c r="B24" s="252" t="s">
        <v>324</v>
      </c>
      <c r="C24" s="191" t="s">
        <v>295</v>
      </c>
      <c r="D24" s="164" t="s">
        <v>30</v>
      </c>
      <c r="E24" s="163">
        <v>20</v>
      </c>
      <c r="F24" s="163">
        <v>23.16</v>
      </c>
      <c r="G24" s="193">
        <f>E24*F24</f>
        <v>463.2</v>
      </c>
      <c r="H24" s="247"/>
    </row>
    <row r="25" spans="1:10" ht="15.75" customHeight="1">
      <c r="A25" s="306"/>
      <c r="B25" s="307"/>
      <c r="C25" s="307"/>
      <c r="D25" s="307"/>
      <c r="E25" s="307"/>
      <c r="F25" s="307"/>
      <c r="G25" s="307"/>
      <c r="H25" s="308"/>
    </row>
    <row r="26" spans="1:10" ht="15.75" customHeight="1">
      <c r="A26" s="240" t="s">
        <v>488</v>
      </c>
      <c r="B26" s="303" t="s">
        <v>36</v>
      </c>
      <c r="C26" s="304"/>
      <c r="D26" s="304"/>
      <c r="E26" s="304"/>
      <c r="F26" s="304"/>
      <c r="G26" s="305"/>
      <c r="H26" s="14">
        <f>SUM(G27:G30)</f>
        <v>18744.900000000001</v>
      </c>
    </row>
    <row r="27" spans="1:10" ht="15.75" customHeight="1">
      <c r="A27" s="289" t="s">
        <v>51</v>
      </c>
      <c r="B27" s="253" t="s">
        <v>320</v>
      </c>
      <c r="C27" s="194" t="s">
        <v>319</v>
      </c>
      <c r="D27" s="154" t="s">
        <v>28</v>
      </c>
      <c r="E27" s="186">
        <v>50</v>
      </c>
      <c r="F27" s="156">
        <v>29.28</v>
      </c>
      <c r="G27" s="157">
        <f>F27*E27</f>
        <v>1464</v>
      </c>
      <c r="H27" s="315"/>
    </row>
    <row r="28" spans="1:10" s="117" customFormat="1" ht="15.75">
      <c r="A28" s="289" t="s">
        <v>83</v>
      </c>
      <c r="B28" s="254" t="s">
        <v>366</v>
      </c>
      <c r="C28" s="194" t="s">
        <v>344</v>
      </c>
      <c r="D28" s="196" t="s">
        <v>28</v>
      </c>
      <c r="E28" s="197">
        <v>54.9</v>
      </c>
      <c r="F28" s="198">
        <f>90+27</f>
        <v>117</v>
      </c>
      <c r="G28" s="157">
        <f>F28*E28</f>
        <v>6423.3</v>
      </c>
      <c r="H28" s="316"/>
      <c r="J28" s="11"/>
    </row>
    <row r="29" spans="1:10" ht="15.75" customHeight="1">
      <c r="A29" s="289" t="s">
        <v>52</v>
      </c>
      <c r="B29" s="255" t="s">
        <v>202</v>
      </c>
      <c r="C29" s="194" t="s">
        <v>345</v>
      </c>
      <c r="D29" s="161" t="s">
        <v>28</v>
      </c>
      <c r="E29" s="162">
        <v>120.64</v>
      </c>
      <c r="F29" s="175">
        <v>90</v>
      </c>
      <c r="G29" s="157">
        <f>F29*E29</f>
        <v>10857.6</v>
      </c>
      <c r="H29" s="317"/>
    </row>
    <row r="30" spans="1:10" ht="15.75" customHeight="1">
      <c r="A30" s="306"/>
      <c r="B30" s="307"/>
      <c r="C30" s="307"/>
      <c r="D30" s="307"/>
      <c r="E30" s="307"/>
      <c r="F30" s="307"/>
      <c r="G30" s="307"/>
      <c r="H30" s="308"/>
    </row>
    <row r="31" spans="1:10" ht="15.75" customHeight="1">
      <c r="A31" s="241" t="s">
        <v>489</v>
      </c>
      <c r="B31" s="303" t="s">
        <v>37</v>
      </c>
      <c r="C31" s="304"/>
      <c r="D31" s="304"/>
      <c r="E31" s="304"/>
      <c r="F31" s="304"/>
      <c r="G31" s="305"/>
      <c r="H31" s="257">
        <f>SUM(G32:G46)</f>
        <v>82396.7736</v>
      </c>
    </row>
    <row r="32" spans="1:10" ht="15.75" customHeight="1">
      <c r="A32" s="289" t="s">
        <v>369</v>
      </c>
      <c r="B32" s="258" t="s">
        <v>341</v>
      </c>
      <c r="C32" s="155" t="s">
        <v>342</v>
      </c>
      <c r="D32" s="154" t="s">
        <v>29</v>
      </c>
      <c r="E32" s="156">
        <v>18</v>
      </c>
      <c r="F32" s="156">
        <f>371.54+(2.1*2*0.8+2.1*2*0.2+2.1*0.2)+47.57</f>
        <v>423.73</v>
      </c>
      <c r="G32" s="157">
        <f>F32*E32</f>
        <v>7627.14</v>
      </c>
      <c r="H32" s="315"/>
    </row>
    <row r="33" spans="1:40" s="213" customFormat="1" ht="15.75" customHeight="1">
      <c r="A33" s="294" t="s">
        <v>370</v>
      </c>
      <c r="B33" s="249" t="s">
        <v>207</v>
      </c>
      <c r="C33" s="207"/>
      <c r="D33" s="208" t="s">
        <v>29</v>
      </c>
      <c r="E33" s="209">
        <v>10</v>
      </c>
      <c r="F33" s="209">
        <f>307.39*1.15</f>
        <v>353.49849999999998</v>
      </c>
      <c r="G33" s="210">
        <f>F33*E33</f>
        <v>3534.9849999999997</v>
      </c>
      <c r="H33" s="316"/>
      <c r="J33" s="214"/>
    </row>
    <row r="34" spans="1:40" s="213" customFormat="1" ht="15.75" customHeight="1">
      <c r="A34" s="294" t="s">
        <v>371</v>
      </c>
      <c r="B34" s="249" t="s">
        <v>209</v>
      </c>
      <c r="C34" s="207"/>
      <c r="D34" s="208" t="s">
        <v>29</v>
      </c>
      <c r="E34" s="209">
        <v>2</v>
      </c>
      <c r="F34" s="209">
        <f>313.89*1.15</f>
        <v>360.97349999999994</v>
      </c>
      <c r="G34" s="210">
        <f>F34*E34</f>
        <v>721.94699999999989</v>
      </c>
      <c r="H34" s="316"/>
      <c r="J34" s="214"/>
    </row>
    <row r="35" spans="1:40" s="213" customFormat="1" ht="15.75" customHeight="1">
      <c r="A35" s="294" t="s">
        <v>372</v>
      </c>
      <c r="B35" s="249" t="s">
        <v>208</v>
      </c>
      <c r="C35" s="207"/>
      <c r="D35" s="208" t="s">
        <v>29</v>
      </c>
      <c r="E35" s="209">
        <v>3</v>
      </c>
      <c r="F35" s="209">
        <f>228.42*1.15</f>
        <v>262.68299999999999</v>
      </c>
      <c r="G35" s="210">
        <f>F35*E35</f>
        <v>788.04899999999998</v>
      </c>
      <c r="H35" s="316"/>
      <c r="J35" s="214"/>
    </row>
    <row r="36" spans="1:40" s="213" customFormat="1" ht="15.75" customHeight="1">
      <c r="A36" s="294" t="s">
        <v>373</v>
      </c>
      <c r="B36" s="249" t="s">
        <v>210</v>
      </c>
      <c r="C36" s="217"/>
      <c r="D36" s="208" t="s">
        <v>29</v>
      </c>
      <c r="E36" s="215">
        <v>2</v>
      </c>
      <c r="F36" s="215">
        <f>233.1*1.15</f>
        <v>268.065</v>
      </c>
      <c r="G36" s="215">
        <f>F36*E36</f>
        <v>536.13</v>
      </c>
      <c r="H36" s="316"/>
      <c r="J36" s="214"/>
    </row>
    <row r="37" spans="1:40" ht="15.75" customHeight="1">
      <c r="A37" s="289" t="s">
        <v>374</v>
      </c>
      <c r="B37" s="258" t="s">
        <v>211</v>
      </c>
      <c r="C37" s="155" t="s">
        <v>105</v>
      </c>
      <c r="D37" s="154" t="s">
        <v>28</v>
      </c>
      <c r="E37" s="168">
        <v>2.92</v>
      </c>
      <c r="F37" s="156">
        <v>113.37</v>
      </c>
      <c r="G37" s="157">
        <f t="shared" ref="G37:G46" si="1">F37*E37</f>
        <v>331.04039999999998</v>
      </c>
      <c r="H37" s="316"/>
    </row>
    <row r="38" spans="1:40" ht="15.75" customHeight="1">
      <c r="A38" s="289" t="s">
        <v>375</v>
      </c>
      <c r="B38" s="258" t="s">
        <v>212</v>
      </c>
      <c r="C38" s="155" t="s">
        <v>213</v>
      </c>
      <c r="D38" s="154" t="s">
        <v>28</v>
      </c>
      <c r="E38" s="168">
        <v>85.02</v>
      </c>
      <c r="F38" s="156">
        <v>320.32</v>
      </c>
      <c r="G38" s="157">
        <f t="shared" si="1"/>
        <v>27233.606399999997</v>
      </c>
      <c r="H38" s="316"/>
    </row>
    <row r="39" spans="1:40" ht="15.75" customHeight="1">
      <c r="A39" s="289" t="s">
        <v>376</v>
      </c>
      <c r="B39" s="258" t="s">
        <v>214</v>
      </c>
      <c r="C39" s="155" t="s">
        <v>215</v>
      </c>
      <c r="D39" s="154" t="s">
        <v>28</v>
      </c>
      <c r="E39" s="168">
        <v>13.27</v>
      </c>
      <c r="F39" s="156">
        <v>344.55</v>
      </c>
      <c r="G39" s="157">
        <f t="shared" si="1"/>
        <v>4572.1785</v>
      </c>
      <c r="H39" s="316"/>
    </row>
    <row r="40" spans="1:40" s="213" customFormat="1" ht="15.75" customHeight="1">
      <c r="A40" s="294" t="s">
        <v>377</v>
      </c>
      <c r="B40" s="249" t="s">
        <v>216</v>
      </c>
      <c r="C40" s="207"/>
      <c r="D40" s="208" t="s">
        <v>28</v>
      </c>
      <c r="E40" s="216">
        <v>20.48</v>
      </c>
      <c r="F40" s="209">
        <f>360.15*1.15</f>
        <v>414.17249999999996</v>
      </c>
      <c r="G40" s="210">
        <f t="shared" si="1"/>
        <v>8482.2527999999984</v>
      </c>
      <c r="H40" s="316"/>
      <c r="J40" s="214"/>
    </row>
    <row r="41" spans="1:40" ht="15.75" customHeight="1">
      <c r="A41" s="289" t="s">
        <v>378</v>
      </c>
      <c r="B41" s="258" t="s">
        <v>217</v>
      </c>
      <c r="C41" s="155" t="s">
        <v>482</v>
      </c>
      <c r="D41" s="154" t="s">
        <v>28</v>
      </c>
      <c r="E41" s="156">
        <v>79.02</v>
      </c>
      <c r="F41" s="156">
        <v>207.67</v>
      </c>
      <c r="G41" s="157">
        <f t="shared" si="1"/>
        <v>16410.0834</v>
      </c>
      <c r="H41" s="316"/>
    </row>
    <row r="42" spans="1:40" ht="15.75" customHeight="1">
      <c r="A42" s="289" t="s">
        <v>379</v>
      </c>
      <c r="B42" s="258" t="s">
        <v>218</v>
      </c>
      <c r="C42" s="155" t="s">
        <v>107</v>
      </c>
      <c r="D42" s="154" t="s">
        <v>28</v>
      </c>
      <c r="E42" s="156">
        <v>13.15</v>
      </c>
      <c r="F42" s="157">
        <v>150.09</v>
      </c>
      <c r="G42" s="157">
        <f t="shared" si="1"/>
        <v>1973.6835000000001</v>
      </c>
      <c r="H42" s="316"/>
    </row>
    <row r="43" spans="1:40" ht="15.75" customHeight="1">
      <c r="A43" s="289" t="s">
        <v>380</v>
      </c>
      <c r="B43" s="258" t="s">
        <v>219</v>
      </c>
      <c r="C43" s="155" t="s">
        <v>367</v>
      </c>
      <c r="D43" s="154" t="s">
        <v>28</v>
      </c>
      <c r="E43" s="156">
        <v>87.94</v>
      </c>
      <c r="F43" s="157">
        <v>90</v>
      </c>
      <c r="G43" s="157">
        <f t="shared" si="1"/>
        <v>7914.5999999999995</v>
      </c>
      <c r="H43" s="316"/>
    </row>
    <row r="44" spans="1:40" s="181" customFormat="1" ht="15.75" customHeight="1">
      <c r="A44" s="289" t="s">
        <v>381</v>
      </c>
      <c r="B44" s="258" t="s">
        <v>221</v>
      </c>
      <c r="C44" s="155" t="s">
        <v>368</v>
      </c>
      <c r="D44" s="154" t="s">
        <v>28</v>
      </c>
      <c r="E44" s="156">
        <v>13.27</v>
      </c>
      <c r="F44" s="157">
        <v>130</v>
      </c>
      <c r="G44" s="157">
        <f t="shared" si="1"/>
        <v>1725.1</v>
      </c>
      <c r="H44" s="316"/>
      <c r="J44" s="182"/>
    </row>
    <row r="45" spans="1:40" ht="15.75" customHeight="1">
      <c r="A45" s="289" t="s">
        <v>382</v>
      </c>
      <c r="B45" s="258" t="s">
        <v>325</v>
      </c>
      <c r="C45" s="155" t="s">
        <v>106</v>
      </c>
      <c r="D45" s="154" t="s">
        <v>28</v>
      </c>
      <c r="E45" s="156">
        <v>3.6</v>
      </c>
      <c r="F45" s="157">
        <v>90</v>
      </c>
      <c r="G45" s="157">
        <f t="shared" si="1"/>
        <v>324</v>
      </c>
      <c r="H45" s="316"/>
    </row>
    <row r="46" spans="1:40" s="213" customFormat="1" ht="15.75" customHeight="1">
      <c r="A46" s="294" t="s">
        <v>383</v>
      </c>
      <c r="B46" s="259" t="s">
        <v>220</v>
      </c>
      <c r="C46" s="217"/>
      <c r="D46" s="217"/>
      <c r="E46" s="218">
        <v>10.24</v>
      </c>
      <c r="F46" s="219">
        <f>18.85*1.15</f>
        <v>21.677499999999998</v>
      </c>
      <c r="G46" s="218">
        <f t="shared" si="1"/>
        <v>221.9776</v>
      </c>
      <c r="H46" s="317"/>
      <c r="J46" s="214"/>
    </row>
    <row r="47" spans="1:40" s="15" customFormat="1" ht="15.75" customHeight="1">
      <c r="A47" s="306"/>
      <c r="B47" s="307"/>
      <c r="C47" s="307"/>
      <c r="D47" s="307"/>
      <c r="E47" s="307"/>
      <c r="F47" s="307"/>
      <c r="G47" s="307"/>
      <c r="H47" s="308"/>
      <c r="I47" s="113"/>
      <c r="J47" s="237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</row>
    <row r="48" spans="1:40" ht="15.75" customHeight="1">
      <c r="A48" s="240" t="s">
        <v>490</v>
      </c>
      <c r="B48" s="303" t="s">
        <v>31</v>
      </c>
      <c r="C48" s="304"/>
      <c r="D48" s="304"/>
      <c r="E48" s="304"/>
      <c r="F48" s="304"/>
      <c r="G48" s="305"/>
      <c r="H48" s="14">
        <f>SUM(G49:G51)</f>
        <v>29131.211500000001</v>
      </c>
    </row>
    <row r="49" spans="1:10" ht="15.75" customHeight="1">
      <c r="A49" s="289" t="s">
        <v>384</v>
      </c>
      <c r="B49" s="260" t="s">
        <v>222</v>
      </c>
      <c r="C49" s="155" t="s">
        <v>481</v>
      </c>
      <c r="D49" s="154" t="s">
        <v>28</v>
      </c>
      <c r="E49" s="156">
        <v>412.2</v>
      </c>
      <c r="F49" s="157">
        <v>40.47</v>
      </c>
      <c r="G49" s="157">
        <f>F49*E49</f>
        <v>16681.734</v>
      </c>
      <c r="H49" s="247"/>
    </row>
    <row r="50" spans="1:10" ht="15.75" customHeight="1">
      <c r="A50" s="289" t="s">
        <v>385</v>
      </c>
      <c r="B50" s="258" t="s">
        <v>224</v>
      </c>
      <c r="C50" s="155" t="s">
        <v>480</v>
      </c>
      <c r="D50" s="154" t="s">
        <v>28</v>
      </c>
      <c r="E50" s="156">
        <v>93.17</v>
      </c>
      <c r="F50" s="157">
        <v>20.75</v>
      </c>
      <c r="G50" s="157">
        <f>F50*E50</f>
        <v>1933.2775000000001</v>
      </c>
      <c r="H50" s="247"/>
    </row>
    <row r="51" spans="1:10" s="117" customFormat="1" ht="15.75" customHeight="1">
      <c r="A51" s="289" t="s">
        <v>386</v>
      </c>
      <c r="B51" s="258" t="s">
        <v>223</v>
      </c>
      <c r="C51" s="155" t="s">
        <v>173</v>
      </c>
      <c r="D51" s="154" t="s">
        <v>28</v>
      </c>
      <c r="E51" s="156">
        <v>170</v>
      </c>
      <c r="F51" s="156">
        <f>10.11+51.75</f>
        <v>61.86</v>
      </c>
      <c r="G51" s="157">
        <f>F51*E51</f>
        <v>10516.2</v>
      </c>
      <c r="H51" s="256"/>
      <c r="J51" s="11"/>
    </row>
    <row r="52" spans="1:10" ht="15.75" customHeight="1">
      <c r="A52" s="306"/>
      <c r="B52" s="307"/>
      <c r="C52" s="307"/>
      <c r="D52" s="307"/>
      <c r="E52" s="307"/>
      <c r="F52" s="307"/>
      <c r="G52" s="307"/>
      <c r="H52" s="308"/>
    </row>
    <row r="53" spans="1:10" s="113" customFormat="1" ht="15.75" customHeight="1">
      <c r="A53" s="242" t="s">
        <v>491</v>
      </c>
      <c r="B53" s="303" t="s">
        <v>260</v>
      </c>
      <c r="C53" s="304"/>
      <c r="D53" s="304"/>
      <c r="E53" s="304"/>
      <c r="F53" s="304"/>
      <c r="G53" s="305"/>
      <c r="H53" s="14">
        <f>SUM(G54:G85)</f>
        <v>113666.68499999998</v>
      </c>
      <c r="J53" s="114"/>
    </row>
    <row r="54" spans="1:10" s="117" customFormat="1" ht="15.75" customHeight="1">
      <c r="A54" s="289" t="s">
        <v>53</v>
      </c>
      <c r="B54" s="246" t="s">
        <v>170</v>
      </c>
      <c r="C54" s="188" t="s">
        <v>406</v>
      </c>
      <c r="D54" s="159" t="s">
        <v>29</v>
      </c>
      <c r="E54" s="157">
        <v>111</v>
      </c>
      <c r="F54" s="157">
        <v>116.82</v>
      </c>
      <c r="G54" s="157">
        <f>E54*F54</f>
        <v>12967.019999999999</v>
      </c>
      <c r="H54" s="330"/>
      <c r="J54" s="118"/>
    </row>
    <row r="55" spans="1:10" s="117" customFormat="1" ht="15.75" customHeight="1">
      <c r="A55" s="289" t="s">
        <v>84</v>
      </c>
      <c r="B55" s="258" t="s">
        <v>245</v>
      </c>
      <c r="C55" s="188" t="s">
        <v>407</v>
      </c>
      <c r="D55" s="154" t="s">
        <v>29</v>
      </c>
      <c r="E55" s="156">
        <v>32</v>
      </c>
      <c r="F55" s="156">
        <v>108.66</v>
      </c>
      <c r="G55" s="157">
        <f t="shared" ref="G55:G77" si="2">F55*E55</f>
        <v>3477.12</v>
      </c>
      <c r="H55" s="331"/>
      <c r="J55" s="11"/>
    </row>
    <row r="56" spans="1:10" s="117" customFormat="1" ht="15.75" customHeight="1">
      <c r="A56" s="289" t="s">
        <v>85</v>
      </c>
      <c r="B56" s="258" t="s">
        <v>244</v>
      </c>
      <c r="C56" s="188" t="s">
        <v>108</v>
      </c>
      <c r="D56" s="154" t="s">
        <v>29</v>
      </c>
      <c r="E56" s="156">
        <v>38</v>
      </c>
      <c r="F56" s="156">
        <v>118.2</v>
      </c>
      <c r="G56" s="157">
        <f t="shared" si="2"/>
        <v>4491.6000000000004</v>
      </c>
      <c r="H56" s="331"/>
      <c r="J56" s="11"/>
    </row>
    <row r="57" spans="1:10" s="117" customFormat="1" ht="15.75" customHeight="1">
      <c r="A57" s="289" t="s">
        <v>86</v>
      </c>
      <c r="B57" s="258" t="s">
        <v>246</v>
      </c>
      <c r="C57" s="188" t="s">
        <v>247</v>
      </c>
      <c r="D57" s="154" t="s">
        <v>29</v>
      </c>
      <c r="E57" s="158">
        <v>236</v>
      </c>
      <c r="F57" s="156">
        <v>118.2</v>
      </c>
      <c r="G57" s="157">
        <f t="shared" si="2"/>
        <v>27895.200000000001</v>
      </c>
      <c r="H57" s="331"/>
      <c r="J57" s="11"/>
    </row>
    <row r="58" spans="1:10" s="117" customFormat="1" ht="15.75" customHeight="1">
      <c r="A58" s="289" t="s">
        <v>296</v>
      </c>
      <c r="B58" s="258" t="s">
        <v>248</v>
      </c>
      <c r="C58" s="188" t="s">
        <v>406</v>
      </c>
      <c r="D58" s="154" t="s">
        <v>29</v>
      </c>
      <c r="E58" s="158">
        <v>18</v>
      </c>
      <c r="F58" s="157">
        <v>116.82</v>
      </c>
      <c r="G58" s="157">
        <f t="shared" si="2"/>
        <v>2102.7599999999998</v>
      </c>
      <c r="H58" s="331"/>
      <c r="J58" s="11"/>
    </row>
    <row r="59" spans="1:10" s="117" customFormat="1" ht="15.75" customHeight="1">
      <c r="A59" s="289" t="s">
        <v>297</v>
      </c>
      <c r="B59" s="258" t="s">
        <v>249</v>
      </c>
      <c r="C59" s="188" t="s">
        <v>405</v>
      </c>
      <c r="D59" s="154" t="s">
        <v>29</v>
      </c>
      <c r="E59" s="158">
        <v>26</v>
      </c>
      <c r="F59" s="158">
        <v>126.35</v>
      </c>
      <c r="G59" s="157">
        <f t="shared" si="2"/>
        <v>3285.1</v>
      </c>
      <c r="H59" s="331"/>
      <c r="J59" s="11"/>
    </row>
    <row r="60" spans="1:10" ht="15.75" customHeight="1">
      <c r="A60" s="289" t="s">
        <v>298</v>
      </c>
      <c r="B60" s="258" t="s">
        <v>326</v>
      </c>
      <c r="C60" s="188" t="s">
        <v>327</v>
      </c>
      <c r="D60" s="154" t="s">
        <v>29</v>
      </c>
      <c r="E60" s="156">
        <v>101</v>
      </c>
      <c r="F60" s="156">
        <v>57.44</v>
      </c>
      <c r="G60" s="157">
        <f>F60*E60</f>
        <v>5801.44</v>
      </c>
      <c r="H60" s="331"/>
    </row>
    <row r="61" spans="1:10" ht="15.75" customHeight="1">
      <c r="A61" s="289" t="s">
        <v>299</v>
      </c>
      <c r="B61" s="258" t="s">
        <v>250</v>
      </c>
      <c r="C61" s="188" t="s">
        <v>477</v>
      </c>
      <c r="D61" s="154" t="s">
        <v>29</v>
      </c>
      <c r="E61" s="158">
        <v>8</v>
      </c>
      <c r="F61" s="158">
        <v>50.16</v>
      </c>
      <c r="G61" s="157">
        <f t="shared" si="2"/>
        <v>401.28</v>
      </c>
      <c r="H61" s="331"/>
      <c r="J61" s="118"/>
    </row>
    <row r="62" spans="1:10" s="213" customFormat="1" ht="15.75" customHeight="1">
      <c r="A62" s="294" t="s">
        <v>300</v>
      </c>
      <c r="B62" s="249" t="s">
        <v>251</v>
      </c>
      <c r="C62" s="188"/>
      <c r="D62" s="208" t="s">
        <v>29</v>
      </c>
      <c r="E62" s="209">
        <v>2</v>
      </c>
      <c r="F62" s="209">
        <f>22.75*1.15</f>
        <v>26.162499999999998</v>
      </c>
      <c r="G62" s="210">
        <f t="shared" si="2"/>
        <v>52.324999999999996</v>
      </c>
      <c r="H62" s="331"/>
      <c r="J62" s="214"/>
    </row>
    <row r="63" spans="1:10" ht="15.75" customHeight="1">
      <c r="A63" s="289" t="s">
        <v>301</v>
      </c>
      <c r="B63" s="258" t="s">
        <v>328</v>
      </c>
      <c r="C63" s="188" t="s">
        <v>329</v>
      </c>
      <c r="D63" s="154" t="s">
        <v>29</v>
      </c>
      <c r="E63" s="169">
        <v>18</v>
      </c>
      <c r="F63" s="156">
        <v>8.07</v>
      </c>
      <c r="G63" s="157">
        <f t="shared" si="2"/>
        <v>145.26</v>
      </c>
      <c r="H63" s="331"/>
    </row>
    <row r="64" spans="1:10" ht="15.75" customHeight="1">
      <c r="A64" s="289" t="s">
        <v>302</v>
      </c>
      <c r="B64" s="258" t="s">
        <v>330</v>
      </c>
      <c r="C64" s="188" t="s">
        <v>331</v>
      </c>
      <c r="D64" s="154" t="s">
        <v>29</v>
      </c>
      <c r="E64" s="169">
        <v>6</v>
      </c>
      <c r="F64" s="156">
        <v>10.9</v>
      </c>
      <c r="G64" s="157">
        <f t="shared" si="2"/>
        <v>65.400000000000006</v>
      </c>
      <c r="H64" s="331"/>
    </row>
    <row r="65" spans="1:10" ht="15.75" customHeight="1">
      <c r="A65" s="289" t="s">
        <v>303</v>
      </c>
      <c r="B65" s="258" t="s">
        <v>332</v>
      </c>
      <c r="C65" s="188" t="s">
        <v>478</v>
      </c>
      <c r="D65" s="154" t="s">
        <v>29</v>
      </c>
      <c r="E65" s="4">
        <v>10</v>
      </c>
      <c r="F65" s="5">
        <v>11.04</v>
      </c>
      <c r="G65" s="4">
        <f t="shared" si="2"/>
        <v>110.39999999999999</v>
      </c>
      <c r="H65" s="331"/>
    </row>
    <row r="66" spans="1:10" s="181" customFormat="1" ht="15.75" customHeight="1">
      <c r="A66" s="289" t="s">
        <v>304</v>
      </c>
      <c r="B66" s="258" t="s">
        <v>258</v>
      </c>
      <c r="C66" s="188" t="s">
        <v>172</v>
      </c>
      <c r="D66" s="154" t="s">
        <v>1</v>
      </c>
      <c r="E66" s="169">
        <v>240</v>
      </c>
      <c r="F66" s="156">
        <v>37.909999999999997</v>
      </c>
      <c r="G66" s="157">
        <f t="shared" si="2"/>
        <v>9098.4</v>
      </c>
      <c r="H66" s="331"/>
      <c r="J66" s="182"/>
    </row>
    <row r="67" spans="1:10" ht="15.75" customHeight="1">
      <c r="A67" s="289" t="s">
        <v>305</v>
      </c>
      <c r="B67" s="244" t="s">
        <v>252</v>
      </c>
      <c r="C67" s="188" t="s">
        <v>109</v>
      </c>
      <c r="D67" s="164" t="s">
        <v>29</v>
      </c>
      <c r="E67" s="163">
        <v>1</v>
      </c>
      <c r="F67" s="183">
        <v>388.13</v>
      </c>
      <c r="G67" s="157">
        <f t="shared" si="2"/>
        <v>388.13</v>
      </c>
      <c r="H67" s="331"/>
    </row>
    <row r="68" spans="1:10" ht="15.75" customHeight="1">
      <c r="A68" s="289" t="s">
        <v>306</v>
      </c>
      <c r="B68" s="244" t="s">
        <v>179</v>
      </c>
      <c r="C68" s="188" t="s">
        <v>479</v>
      </c>
      <c r="D68" s="164" t="s">
        <v>29</v>
      </c>
      <c r="E68" s="163">
        <v>8</v>
      </c>
      <c r="F68" s="183">
        <v>138.05000000000001</v>
      </c>
      <c r="G68" s="157">
        <f t="shared" si="2"/>
        <v>1104.4000000000001</v>
      </c>
      <c r="H68" s="331"/>
    </row>
    <row r="69" spans="1:10" ht="15.75" customHeight="1">
      <c r="A69" s="289" t="s">
        <v>387</v>
      </c>
      <c r="B69" s="244" t="s">
        <v>257</v>
      </c>
      <c r="C69" s="188" t="s">
        <v>253</v>
      </c>
      <c r="D69" s="164" t="s">
        <v>29</v>
      </c>
      <c r="E69" s="163">
        <v>1</v>
      </c>
      <c r="F69" s="183">
        <v>889.52</v>
      </c>
      <c r="G69" s="157">
        <f t="shared" si="2"/>
        <v>889.52</v>
      </c>
      <c r="H69" s="331"/>
    </row>
    <row r="70" spans="1:10" ht="15.75" customHeight="1">
      <c r="A70" s="289" t="s">
        <v>388</v>
      </c>
      <c r="B70" s="244" t="s">
        <v>255</v>
      </c>
      <c r="C70" s="188" t="s">
        <v>256</v>
      </c>
      <c r="D70" s="164" t="s">
        <v>29</v>
      </c>
      <c r="E70" s="163">
        <v>16</v>
      </c>
      <c r="F70" s="183">
        <v>82.95</v>
      </c>
      <c r="G70" s="157">
        <f t="shared" si="2"/>
        <v>1327.2</v>
      </c>
      <c r="H70" s="331"/>
    </row>
    <row r="71" spans="1:10" ht="15.75" customHeight="1">
      <c r="A71" s="289" t="s">
        <v>389</v>
      </c>
      <c r="B71" s="244" t="s">
        <v>334</v>
      </c>
      <c r="C71" s="188" t="s">
        <v>254</v>
      </c>
      <c r="D71" s="164" t="s">
        <v>29</v>
      </c>
      <c r="E71" s="163">
        <v>82</v>
      </c>
      <c r="F71" s="184">
        <v>12.88</v>
      </c>
      <c r="G71" s="157">
        <f t="shared" si="2"/>
        <v>1056.1600000000001</v>
      </c>
      <c r="H71" s="331"/>
    </row>
    <row r="72" spans="1:10" s="117" customFormat="1" ht="15.75" customHeight="1">
      <c r="A72" s="289" t="s">
        <v>390</v>
      </c>
      <c r="B72" s="261" t="s">
        <v>333</v>
      </c>
      <c r="C72" s="188" t="s">
        <v>404</v>
      </c>
      <c r="D72" s="164" t="s">
        <v>29</v>
      </c>
      <c r="E72" s="199">
        <v>10</v>
      </c>
      <c r="F72" s="200">
        <v>168.54</v>
      </c>
      <c r="G72" s="199">
        <f t="shared" si="2"/>
        <v>1685.3999999999999</v>
      </c>
      <c r="H72" s="331"/>
      <c r="J72" s="11"/>
    </row>
    <row r="73" spans="1:10" ht="15.75" customHeight="1">
      <c r="A73" s="289" t="s">
        <v>391</v>
      </c>
      <c r="B73" s="244" t="s">
        <v>110</v>
      </c>
      <c r="C73" s="188" t="s">
        <v>365</v>
      </c>
      <c r="D73" s="164" t="s">
        <v>29</v>
      </c>
      <c r="E73" s="163">
        <v>3</v>
      </c>
      <c r="F73" s="184">
        <v>31.48</v>
      </c>
      <c r="G73" s="157">
        <f t="shared" si="2"/>
        <v>94.44</v>
      </c>
      <c r="H73" s="331"/>
    </row>
    <row r="74" spans="1:10" ht="15.75" customHeight="1">
      <c r="A74" s="289" t="s">
        <v>392</v>
      </c>
      <c r="B74" s="250" t="s">
        <v>335</v>
      </c>
      <c r="C74" s="188" t="s">
        <v>336</v>
      </c>
      <c r="D74" s="3" t="s">
        <v>1</v>
      </c>
      <c r="E74" s="4">
        <v>23</v>
      </c>
      <c r="F74" s="5">
        <v>8.23</v>
      </c>
      <c r="G74" s="157">
        <f t="shared" si="2"/>
        <v>189.29000000000002</v>
      </c>
      <c r="H74" s="331"/>
    </row>
    <row r="75" spans="1:10" ht="15.75" customHeight="1">
      <c r="A75" s="289" t="s">
        <v>393</v>
      </c>
      <c r="B75" s="262" t="s">
        <v>337</v>
      </c>
      <c r="C75" s="188" t="s">
        <v>476</v>
      </c>
      <c r="D75" s="164" t="s">
        <v>29</v>
      </c>
      <c r="E75" s="163">
        <v>3</v>
      </c>
      <c r="F75" s="184">
        <v>36.75</v>
      </c>
      <c r="G75" s="157">
        <f t="shared" si="2"/>
        <v>110.25</v>
      </c>
      <c r="H75" s="331"/>
    </row>
    <row r="76" spans="1:10" ht="15.75" customHeight="1">
      <c r="A76" s="289" t="s">
        <v>394</v>
      </c>
      <c r="B76" s="263" t="s">
        <v>259</v>
      </c>
      <c r="C76" s="188" t="s">
        <v>475</v>
      </c>
      <c r="D76" s="167"/>
      <c r="E76" s="170">
        <v>104</v>
      </c>
      <c r="F76" s="170">
        <v>18.23</v>
      </c>
      <c r="G76" s="185">
        <f t="shared" si="2"/>
        <v>1895.92</v>
      </c>
      <c r="H76" s="331"/>
    </row>
    <row r="77" spans="1:10" ht="15.75" customHeight="1">
      <c r="A77" s="289" t="s">
        <v>395</v>
      </c>
      <c r="B77" s="262" t="s">
        <v>171</v>
      </c>
      <c r="C77" s="188" t="s">
        <v>172</v>
      </c>
      <c r="D77" s="164" t="s">
        <v>1</v>
      </c>
      <c r="E77" s="165">
        <v>240</v>
      </c>
      <c r="F77" s="186">
        <v>37.909999999999997</v>
      </c>
      <c r="G77" s="157">
        <f t="shared" si="2"/>
        <v>9098.4</v>
      </c>
      <c r="H77" s="331"/>
    </row>
    <row r="78" spans="1:10" ht="15.75" customHeight="1">
      <c r="A78" s="289" t="s">
        <v>396</v>
      </c>
      <c r="B78" s="264" t="s">
        <v>261</v>
      </c>
      <c r="C78" s="188" t="s">
        <v>262</v>
      </c>
      <c r="D78" s="164" t="s">
        <v>29</v>
      </c>
      <c r="E78" s="165">
        <v>1</v>
      </c>
      <c r="F78" s="187">
        <v>10943.81</v>
      </c>
      <c r="G78" s="157">
        <f t="shared" ref="G78:G85" si="3">F78*E78</f>
        <v>10943.81</v>
      </c>
      <c r="H78" s="331"/>
    </row>
    <row r="79" spans="1:10" ht="15.75" customHeight="1">
      <c r="A79" s="289" t="s">
        <v>397</v>
      </c>
      <c r="B79" s="264" t="s">
        <v>98</v>
      </c>
      <c r="C79" s="188" t="s">
        <v>116</v>
      </c>
      <c r="D79" s="164" t="s">
        <v>29</v>
      </c>
      <c r="E79" s="165">
        <v>1</v>
      </c>
      <c r="F79" s="187">
        <v>119.94</v>
      </c>
      <c r="G79" s="157">
        <f t="shared" si="3"/>
        <v>119.94</v>
      </c>
      <c r="H79" s="331"/>
    </row>
    <row r="80" spans="1:10" ht="15.75" customHeight="1">
      <c r="A80" s="289" t="s">
        <v>398</v>
      </c>
      <c r="B80" s="262" t="s">
        <v>57</v>
      </c>
      <c r="C80" s="188" t="s">
        <v>117</v>
      </c>
      <c r="D80" s="164" t="s">
        <v>29</v>
      </c>
      <c r="E80" s="165">
        <v>1</v>
      </c>
      <c r="F80" s="186">
        <v>1061.4100000000001</v>
      </c>
      <c r="G80" s="157">
        <f t="shared" si="3"/>
        <v>1061.4100000000001</v>
      </c>
      <c r="H80" s="331"/>
    </row>
    <row r="81" spans="1:10" ht="15.75" customHeight="1">
      <c r="A81" s="289" t="s">
        <v>399</v>
      </c>
      <c r="B81" s="262" t="s">
        <v>58</v>
      </c>
      <c r="C81" s="188" t="s">
        <v>118</v>
      </c>
      <c r="D81" s="164" t="s">
        <v>29</v>
      </c>
      <c r="E81" s="165">
        <v>1</v>
      </c>
      <c r="F81" s="186">
        <v>2634.59</v>
      </c>
      <c r="G81" s="157">
        <f t="shared" si="3"/>
        <v>2634.59</v>
      </c>
      <c r="H81" s="331"/>
    </row>
    <row r="82" spans="1:10" ht="15.75" customHeight="1">
      <c r="A82" s="289" t="s">
        <v>400</v>
      </c>
      <c r="B82" s="262" t="s">
        <v>91</v>
      </c>
      <c r="C82" s="188" t="s">
        <v>119</v>
      </c>
      <c r="D82" s="164" t="s">
        <v>29</v>
      </c>
      <c r="E82" s="165">
        <v>2</v>
      </c>
      <c r="F82" s="186">
        <v>593.46</v>
      </c>
      <c r="G82" s="157">
        <f t="shared" si="3"/>
        <v>1186.92</v>
      </c>
      <c r="H82" s="331"/>
    </row>
    <row r="83" spans="1:10" ht="15.75" customHeight="1">
      <c r="A83" s="289" t="s">
        <v>401</v>
      </c>
      <c r="B83" s="265" t="s">
        <v>322</v>
      </c>
      <c r="C83" s="188" t="s">
        <v>111</v>
      </c>
      <c r="D83" s="154" t="s">
        <v>1</v>
      </c>
      <c r="E83" s="189">
        <v>120</v>
      </c>
      <c r="F83" s="184">
        <v>20.16</v>
      </c>
      <c r="G83" s="157">
        <f t="shared" si="3"/>
        <v>2419.1999999999998</v>
      </c>
      <c r="H83" s="331"/>
    </row>
    <row r="84" spans="1:10" ht="15.75" customHeight="1">
      <c r="A84" s="289" t="s">
        <v>402</v>
      </c>
      <c r="B84" s="265" t="s">
        <v>112</v>
      </c>
      <c r="C84" s="188" t="s">
        <v>113</v>
      </c>
      <c r="D84" s="154" t="s">
        <v>1</v>
      </c>
      <c r="E84" s="189">
        <v>120</v>
      </c>
      <c r="F84" s="184">
        <v>28.57</v>
      </c>
      <c r="G84" s="157">
        <f t="shared" si="3"/>
        <v>3428.4</v>
      </c>
      <c r="H84" s="331"/>
    </row>
    <row r="85" spans="1:10" ht="15.75" customHeight="1">
      <c r="A85" s="289" t="s">
        <v>403</v>
      </c>
      <c r="B85" s="265" t="s">
        <v>114</v>
      </c>
      <c r="C85" s="188" t="s">
        <v>115</v>
      </c>
      <c r="D85" s="154" t="s">
        <v>1</v>
      </c>
      <c r="E85" s="189">
        <v>120</v>
      </c>
      <c r="F85" s="190">
        <v>34.5</v>
      </c>
      <c r="G85" s="157">
        <f t="shared" si="3"/>
        <v>4140</v>
      </c>
      <c r="H85" s="332"/>
    </row>
    <row r="86" spans="1:10" ht="15.75" customHeight="1">
      <c r="A86" s="306"/>
      <c r="B86" s="307"/>
      <c r="C86" s="307"/>
      <c r="D86" s="307"/>
      <c r="E86" s="307"/>
      <c r="F86" s="307"/>
      <c r="G86" s="307"/>
      <c r="H86" s="308"/>
    </row>
    <row r="87" spans="1:10" ht="15.75" customHeight="1">
      <c r="A87" s="295" t="s">
        <v>492</v>
      </c>
      <c r="B87" s="303" t="s">
        <v>34</v>
      </c>
      <c r="C87" s="304"/>
      <c r="D87" s="304"/>
      <c r="E87" s="304"/>
      <c r="F87" s="304"/>
      <c r="G87" s="305"/>
      <c r="H87" s="266">
        <f>SUM(G88:G118)</f>
        <v>64276.943999999996</v>
      </c>
    </row>
    <row r="88" spans="1:10" ht="15.75" customHeight="1">
      <c r="A88" s="289" t="s">
        <v>87</v>
      </c>
      <c r="B88" s="258" t="s">
        <v>120</v>
      </c>
      <c r="C88" s="155" t="s">
        <v>121</v>
      </c>
      <c r="D88" s="154" t="s">
        <v>346</v>
      </c>
      <c r="E88" s="156">
        <v>80</v>
      </c>
      <c r="F88" s="156">
        <v>53.42</v>
      </c>
      <c r="G88" s="157">
        <f t="shared" ref="G88:G94" si="4">F88*E88</f>
        <v>4273.6000000000004</v>
      </c>
      <c r="H88" s="315"/>
    </row>
    <row r="89" spans="1:10" ht="15.75" customHeight="1">
      <c r="A89" s="289" t="s">
        <v>88</v>
      </c>
      <c r="B89" s="258" t="s">
        <v>122</v>
      </c>
      <c r="C89" s="155" t="s">
        <v>123</v>
      </c>
      <c r="D89" s="154" t="s">
        <v>346</v>
      </c>
      <c r="E89" s="156">
        <v>69</v>
      </c>
      <c r="F89" s="156">
        <v>75.45</v>
      </c>
      <c r="G89" s="157">
        <f t="shared" si="4"/>
        <v>5206.05</v>
      </c>
      <c r="H89" s="316"/>
    </row>
    <row r="90" spans="1:10" ht="15.75" customHeight="1">
      <c r="A90" s="289" t="s">
        <v>343</v>
      </c>
      <c r="B90" s="258" t="s">
        <v>124</v>
      </c>
      <c r="C90" s="155" t="s">
        <v>125</v>
      </c>
      <c r="D90" s="154" t="s">
        <v>29</v>
      </c>
      <c r="E90" s="156">
        <v>21</v>
      </c>
      <c r="F90" s="156">
        <v>29.49</v>
      </c>
      <c r="G90" s="157">
        <f t="shared" si="4"/>
        <v>619.29</v>
      </c>
      <c r="H90" s="316"/>
    </row>
    <row r="91" spans="1:10" ht="15.75" customHeight="1">
      <c r="A91" s="289" t="s">
        <v>408</v>
      </c>
      <c r="B91" s="258" t="s">
        <v>307</v>
      </c>
      <c r="C91" s="155" t="s">
        <v>126</v>
      </c>
      <c r="D91" s="154" t="s">
        <v>29</v>
      </c>
      <c r="E91" s="156">
        <v>10</v>
      </c>
      <c r="F91" s="156">
        <v>65.8</v>
      </c>
      <c r="G91" s="157">
        <f t="shared" si="4"/>
        <v>658</v>
      </c>
      <c r="H91" s="316"/>
      <c r="J91" s="118"/>
    </row>
    <row r="92" spans="1:10" ht="15.75" customHeight="1">
      <c r="A92" s="289" t="s">
        <v>409</v>
      </c>
      <c r="B92" s="258" t="s">
        <v>65</v>
      </c>
      <c r="C92" s="155" t="s">
        <v>125</v>
      </c>
      <c r="D92" s="154" t="s">
        <v>29</v>
      </c>
      <c r="E92" s="156">
        <v>26</v>
      </c>
      <c r="F92" s="156">
        <v>29.49</v>
      </c>
      <c r="G92" s="157">
        <f t="shared" si="4"/>
        <v>766.74</v>
      </c>
      <c r="H92" s="316"/>
      <c r="J92" s="118"/>
    </row>
    <row r="93" spans="1:10" ht="15.75" customHeight="1">
      <c r="A93" s="289" t="s">
        <v>410</v>
      </c>
      <c r="B93" s="258" t="s">
        <v>127</v>
      </c>
      <c r="C93" s="155" t="s">
        <v>128</v>
      </c>
      <c r="D93" s="154" t="s">
        <v>29</v>
      </c>
      <c r="E93" s="156">
        <v>5</v>
      </c>
      <c r="F93" s="157">
        <v>230.8</v>
      </c>
      <c r="G93" s="157">
        <f t="shared" si="4"/>
        <v>1154</v>
      </c>
      <c r="H93" s="316"/>
      <c r="J93" s="11"/>
    </row>
    <row r="94" spans="1:10" ht="15.75" customHeight="1">
      <c r="A94" s="289" t="s">
        <v>411</v>
      </c>
      <c r="B94" s="258" t="s">
        <v>129</v>
      </c>
      <c r="C94" s="155" t="s">
        <v>310</v>
      </c>
      <c r="D94" s="154" t="s">
        <v>29</v>
      </c>
      <c r="E94" s="156">
        <v>5</v>
      </c>
      <c r="F94" s="156">
        <v>14.35</v>
      </c>
      <c r="G94" s="157">
        <f t="shared" si="4"/>
        <v>71.75</v>
      </c>
      <c r="H94" s="316"/>
      <c r="J94" s="11"/>
    </row>
    <row r="95" spans="1:10" ht="15.75" customHeight="1">
      <c r="A95" s="289" t="s">
        <v>412</v>
      </c>
      <c r="B95" s="264" t="s">
        <v>229</v>
      </c>
      <c r="C95" s="155" t="s">
        <v>474</v>
      </c>
      <c r="D95" s="154" t="s">
        <v>29</v>
      </c>
      <c r="E95" s="156">
        <v>2</v>
      </c>
      <c r="F95" s="157">
        <v>357.33</v>
      </c>
      <c r="G95" s="157">
        <f t="shared" ref="G95:G110" si="5">F95*E95</f>
        <v>714.66</v>
      </c>
      <c r="H95" s="316"/>
      <c r="J95" s="11"/>
    </row>
    <row r="96" spans="1:10" s="10" customFormat="1" ht="15.75" customHeight="1">
      <c r="A96" s="289" t="s">
        <v>413</v>
      </c>
      <c r="B96" s="258" t="s">
        <v>230</v>
      </c>
      <c r="C96" s="155" t="s">
        <v>309</v>
      </c>
      <c r="D96" s="154" t="s">
        <v>29</v>
      </c>
      <c r="E96" s="156">
        <v>4</v>
      </c>
      <c r="F96" s="157">
        <v>168.75</v>
      </c>
      <c r="G96" s="157">
        <f t="shared" si="5"/>
        <v>675</v>
      </c>
      <c r="H96" s="316"/>
      <c r="I96" s="9"/>
      <c r="J96" s="12"/>
    </row>
    <row r="97" spans="1:10" s="10" customFormat="1" ht="15.75" customHeight="1">
      <c r="A97" s="289" t="s">
        <v>414</v>
      </c>
      <c r="B97" s="258" t="s">
        <v>231</v>
      </c>
      <c r="C97" s="155" t="s">
        <v>483</v>
      </c>
      <c r="D97" s="154" t="s">
        <v>29</v>
      </c>
      <c r="E97" s="156">
        <v>1</v>
      </c>
      <c r="F97" s="157">
        <v>125.14</v>
      </c>
      <c r="G97" s="157">
        <f t="shared" si="5"/>
        <v>125.14</v>
      </c>
      <c r="H97" s="316"/>
      <c r="I97" s="9"/>
      <c r="J97" s="12"/>
    </row>
    <row r="98" spans="1:10" s="10" customFormat="1" ht="15.75" customHeight="1">
      <c r="A98" s="289" t="s">
        <v>415</v>
      </c>
      <c r="B98" s="258" t="s">
        <v>232</v>
      </c>
      <c r="C98" s="155" t="s">
        <v>484</v>
      </c>
      <c r="D98" s="154" t="s">
        <v>29</v>
      </c>
      <c r="E98" s="162">
        <v>32</v>
      </c>
      <c r="F98" s="175">
        <v>724.39</v>
      </c>
      <c r="G98" s="162">
        <f t="shared" si="5"/>
        <v>23180.48</v>
      </c>
      <c r="H98" s="316"/>
      <c r="I98" s="9"/>
      <c r="J98" s="12"/>
    </row>
    <row r="99" spans="1:10" s="10" customFormat="1" ht="15.75" customHeight="1">
      <c r="A99" s="289" t="s">
        <v>416</v>
      </c>
      <c r="B99" s="267" t="s">
        <v>233</v>
      </c>
      <c r="C99" s="155" t="s">
        <v>473</v>
      </c>
      <c r="D99" s="154" t="s">
        <v>29</v>
      </c>
      <c r="E99" s="162">
        <v>4</v>
      </c>
      <c r="F99" s="175">
        <v>225.39</v>
      </c>
      <c r="G99" s="162">
        <f t="shared" si="5"/>
        <v>901.56</v>
      </c>
      <c r="H99" s="316"/>
      <c r="I99" s="9"/>
      <c r="J99" s="12"/>
    </row>
    <row r="100" spans="1:10" s="220" customFormat="1" ht="15.75" customHeight="1">
      <c r="A100" s="294" t="s">
        <v>417</v>
      </c>
      <c r="B100" s="268" t="s">
        <v>234</v>
      </c>
      <c r="C100" s="155"/>
      <c r="D100" s="208" t="s">
        <v>29</v>
      </c>
      <c r="E100" s="212">
        <v>10</v>
      </c>
      <c r="F100" s="212">
        <f>995.8*1.15</f>
        <v>1145.1699999999998</v>
      </c>
      <c r="G100" s="218">
        <f t="shared" si="5"/>
        <v>11451.699999999999</v>
      </c>
      <c r="H100" s="316"/>
      <c r="J100" s="221"/>
    </row>
    <row r="101" spans="1:10" s="10" customFormat="1" ht="15.75" customHeight="1">
      <c r="A101" s="289" t="s">
        <v>418</v>
      </c>
      <c r="B101" s="258" t="s">
        <v>130</v>
      </c>
      <c r="C101" s="155" t="s">
        <v>472</v>
      </c>
      <c r="D101" s="154" t="s">
        <v>29</v>
      </c>
      <c r="E101" s="156">
        <v>2</v>
      </c>
      <c r="F101" s="157">
        <v>35.14</v>
      </c>
      <c r="G101" s="157"/>
      <c r="H101" s="316"/>
      <c r="I101" s="9"/>
      <c r="J101" s="12"/>
    </row>
    <row r="102" spans="1:10" s="10" customFormat="1" ht="15.75" customHeight="1">
      <c r="A102" s="289" t="s">
        <v>419</v>
      </c>
      <c r="B102" s="258" t="s">
        <v>131</v>
      </c>
      <c r="C102" s="155" t="s">
        <v>132</v>
      </c>
      <c r="D102" s="154" t="s">
        <v>29</v>
      </c>
      <c r="E102" s="156">
        <v>12</v>
      </c>
      <c r="F102" s="157">
        <v>32.020000000000003</v>
      </c>
      <c r="G102" s="157">
        <f t="shared" si="5"/>
        <v>384.24</v>
      </c>
      <c r="H102" s="316"/>
      <c r="I102" s="9"/>
      <c r="J102" s="12"/>
    </row>
    <row r="103" spans="1:10" s="10" customFormat="1" ht="15.75" customHeight="1">
      <c r="A103" s="289" t="s">
        <v>420</v>
      </c>
      <c r="B103" s="258" t="s">
        <v>133</v>
      </c>
      <c r="C103" s="155" t="s">
        <v>311</v>
      </c>
      <c r="D103" s="154" t="s">
        <v>29</v>
      </c>
      <c r="E103" s="156">
        <v>1</v>
      </c>
      <c r="F103" s="157">
        <v>227.26</v>
      </c>
      <c r="G103" s="157">
        <f t="shared" si="5"/>
        <v>227.26</v>
      </c>
      <c r="H103" s="316"/>
      <c r="I103" s="9"/>
      <c r="J103" s="12"/>
    </row>
    <row r="104" spans="1:10" s="10" customFormat="1" ht="15.75" customHeight="1">
      <c r="A104" s="289" t="s">
        <v>421</v>
      </c>
      <c r="B104" s="267" t="s">
        <v>235</v>
      </c>
      <c r="C104" s="155" t="s">
        <v>471</v>
      </c>
      <c r="D104" s="161"/>
      <c r="E104" s="162">
        <v>5</v>
      </c>
      <c r="F104" s="175">
        <v>16.36</v>
      </c>
      <c r="G104" s="157">
        <f t="shared" si="5"/>
        <v>81.8</v>
      </c>
      <c r="H104" s="316"/>
      <c r="I104" s="9"/>
      <c r="J104" s="12"/>
    </row>
    <row r="105" spans="1:10" s="10" customFormat="1" ht="15.75" customHeight="1">
      <c r="A105" s="289" t="s">
        <v>422</v>
      </c>
      <c r="B105" s="269" t="s">
        <v>236</v>
      </c>
      <c r="C105" s="155" t="s">
        <v>470</v>
      </c>
      <c r="D105" s="158"/>
      <c r="E105" s="158">
        <v>8</v>
      </c>
      <c r="F105" s="158">
        <v>43.72</v>
      </c>
      <c r="G105" s="157">
        <f t="shared" si="5"/>
        <v>349.76</v>
      </c>
      <c r="H105" s="316"/>
      <c r="I105" s="9"/>
      <c r="J105" s="12"/>
    </row>
    <row r="106" spans="1:10" s="10" customFormat="1" ht="15.75" customHeight="1">
      <c r="A106" s="289" t="s">
        <v>423</v>
      </c>
      <c r="B106" s="258" t="s">
        <v>134</v>
      </c>
      <c r="C106" s="155" t="s">
        <v>237</v>
      </c>
      <c r="D106" s="154" t="s">
        <v>29</v>
      </c>
      <c r="E106" s="156">
        <v>2</v>
      </c>
      <c r="F106" s="156">
        <v>19.07</v>
      </c>
      <c r="G106" s="157">
        <f t="shared" si="5"/>
        <v>38.14</v>
      </c>
      <c r="H106" s="316"/>
      <c r="I106" s="9"/>
      <c r="J106" s="12"/>
    </row>
    <row r="107" spans="1:10" s="10" customFormat="1" ht="15.75" customHeight="1">
      <c r="A107" s="289" t="s">
        <v>424</v>
      </c>
      <c r="B107" s="258" t="s">
        <v>180</v>
      </c>
      <c r="C107" s="155" t="s">
        <v>181</v>
      </c>
      <c r="D107" s="154" t="s">
        <v>29</v>
      </c>
      <c r="E107" s="156">
        <v>2</v>
      </c>
      <c r="F107" s="157">
        <v>38.14</v>
      </c>
      <c r="G107" s="157">
        <f t="shared" si="5"/>
        <v>76.28</v>
      </c>
      <c r="H107" s="316"/>
      <c r="I107" s="9"/>
      <c r="J107" s="12"/>
    </row>
    <row r="108" spans="1:10" s="10" customFormat="1" ht="15.75" customHeight="1">
      <c r="A108" s="289" t="s">
        <v>425</v>
      </c>
      <c r="B108" s="258" t="s">
        <v>135</v>
      </c>
      <c r="C108" s="155" t="s">
        <v>136</v>
      </c>
      <c r="D108" s="154" t="s">
        <v>29</v>
      </c>
      <c r="E108" s="156">
        <v>5</v>
      </c>
      <c r="F108" s="157">
        <v>50.7</v>
      </c>
      <c r="G108" s="157">
        <f t="shared" si="5"/>
        <v>253.5</v>
      </c>
      <c r="H108" s="316"/>
      <c r="I108" s="9"/>
      <c r="J108" s="12"/>
    </row>
    <row r="109" spans="1:10" s="10" customFormat="1" ht="15.75" customHeight="1">
      <c r="A109" s="289" t="s">
        <v>426</v>
      </c>
      <c r="B109" s="258" t="s">
        <v>137</v>
      </c>
      <c r="C109" s="155" t="s">
        <v>138</v>
      </c>
      <c r="D109" s="154" t="s">
        <v>29</v>
      </c>
      <c r="E109" s="156">
        <v>2</v>
      </c>
      <c r="F109" s="157">
        <v>25.23</v>
      </c>
      <c r="G109" s="157">
        <f t="shared" si="5"/>
        <v>50.46</v>
      </c>
      <c r="H109" s="316"/>
      <c r="I109" s="9"/>
      <c r="J109" s="12"/>
    </row>
    <row r="110" spans="1:10" s="10" customFormat="1" ht="15.75" customHeight="1">
      <c r="A110" s="289" t="s">
        <v>427</v>
      </c>
      <c r="B110" s="258" t="s">
        <v>139</v>
      </c>
      <c r="C110" s="155" t="s">
        <v>140</v>
      </c>
      <c r="D110" s="154" t="s">
        <v>29</v>
      </c>
      <c r="E110" s="156">
        <v>23</v>
      </c>
      <c r="F110" s="156">
        <v>14.5</v>
      </c>
      <c r="G110" s="157">
        <f t="shared" si="5"/>
        <v>333.5</v>
      </c>
      <c r="H110" s="316"/>
      <c r="I110" s="9"/>
      <c r="J110" s="12"/>
    </row>
    <row r="111" spans="1:10" s="10" customFormat="1" ht="15.75" customHeight="1">
      <c r="A111" s="289" t="s">
        <v>428</v>
      </c>
      <c r="B111" s="263" t="s">
        <v>238</v>
      </c>
      <c r="C111" s="155" t="s">
        <v>469</v>
      </c>
      <c r="D111" s="167"/>
      <c r="E111" s="167">
        <v>1</v>
      </c>
      <c r="F111" s="156">
        <v>26.62</v>
      </c>
      <c r="G111" s="167"/>
      <c r="H111" s="316"/>
      <c r="I111" s="9"/>
      <c r="J111" s="12"/>
    </row>
    <row r="112" spans="1:10" s="10" customFormat="1" ht="15.75" customHeight="1">
      <c r="A112" s="289" t="s">
        <v>429</v>
      </c>
      <c r="B112" s="258" t="s">
        <v>141</v>
      </c>
      <c r="C112" s="155" t="s">
        <v>142</v>
      </c>
      <c r="D112" s="154" t="s">
        <v>29</v>
      </c>
      <c r="E112" s="156">
        <v>7</v>
      </c>
      <c r="F112" s="156">
        <v>100.5</v>
      </c>
      <c r="G112" s="157">
        <f t="shared" ref="G112:G118" si="6">F112*E112</f>
        <v>703.5</v>
      </c>
      <c r="H112" s="316"/>
      <c r="I112" s="9"/>
      <c r="J112" s="12"/>
    </row>
    <row r="113" spans="1:10" s="10" customFormat="1" ht="15.75" customHeight="1">
      <c r="A113" s="289" t="s">
        <v>430</v>
      </c>
      <c r="B113" s="258" t="s">
        <v>143</v>
      </c>
      <c r="C113" s="155" t="s">
        <v>144</v>
      </c>
      <c r="D113" s="154" t="s">
        <v>29</v>
      </c>
      <c r="E113" s="156">
        <v>2</v>
      </c>
      <c r="F113" s="156">
        <v>108.84</v>
      </c>
      <c r="G113" s="157">
        <f t="shared" si="6"/>
        <v>217.68</v>
      </c>
      <c r="H113" s="316"/>
      <c r="I113" s="9"/>
      <c r="J113" s="12"/>
    </row>
    <row r="114" spans="1:10" s="10" customFormat="1" ht="15.75" customHeight="1">
      <c r="A114" s="289" t="s">
        <v>431</v>
      </c>
      <c r="B114" s="258" t="s">
        <v>239</v>
      </c>
      <c r="C114" s="155"/>
      <c r="D114" s="154" t="s">
        <v>29</v>
      </c>
      <c r="E114" s="156">
        <v>60</v>
      </c>
      <c r="F114" s="156">
        <v>9.35</v>
      </c>
      <c r="G114" s="157">
        <f t="shared" si="6"/>
        <v>561</v>
      </c>
      <c r="H114" s="316"/>
      <c r="J114" s="12"/>
    </row>
    <row r="115" spans="1:10" s="10" customFormat="1" ht="15.75" customHeight="1">
      <c r="A115" s="289" t="s">
        <v>432</v>
      </c>
      <c r="B115" s="270" t="s">
        <v>240</v>
      </c>
      <c r="C115" s="155"/>
      <c r="D115" s="201"/>
      <c r="E115" s="202">
        <v>126</v>
      </c>
      <c r="F115" s="195">
        <v>14.12</v>
      </c>
      <c r="G115" s="195">
        <f t="shared" si="6"/>
        <v>1779.12</v>
      </c>
      <c r="H115" s="316"/>
      <c r="J115" s="12"/>
    </row>
    <row r="116" spans="1:10" s="10" customFormat="1" ht="15.75" customHeight="1">
      <c r="A116" s="289" t="s">
        <v>433</v>
      </c>
      <c r="B116" s="263" t="s">
        <v>241</v>
      </c>
      <c r="C116" s="155" t="s">
        <v>468</v>
      </c>
      <c r="D116" s="166"/>
      <c r="E116" s="170">
        <v>14</v>
      </c>
      <c r="F116" s="170">
        <v>93.39</v>
      </c>
      <c r="G116" s="170">
        <f t="shared" si="6"/>
        <v>1307.46</v>
      </c>
      <c r="H116" s="316"/>
      <c r="I116" s="9"/>
      <c r="J116" s="12"/>
    </row>
    <row r="117" spans="1:10" s="179" customFormat="1" ht="15.75" customHeight="1">
      <c r="A117" s="289" t="s">
        <v>434</v>
      </c>
      <c r="B117" s="271" t="s">
        <v>242</v>
      </c>
      <c r="C117" s="155"/>
      <c r="D117" s="176"/>
      <c r="E117" s="177">
        <v>123</v>
      </c>
      <c r="F117" s="235">
        <f>14.12*1.15</f>
        <v>16.238</v>
      </c>
      <c r="G117" s="177">
        <f t="shared" si="6"/>
        <v>1997.2739999999999</v>
      </c>
      <c r="H117" s="316"/>
      <c r="J117" s="180"/>
    </row>
    <row r="118" spans="1:10" s="10" customFormat="1" ht="15.75" customHeight="1">
      <c r="A118" s="289" t="s">
        <v>435</v>
      </c>
      <c r="B118" s="272" t="s">
        <v>243</v>
      </c>
      <c r="C118" s="155" t="s">
        <v>467</v>
      </c>
      <c r="D118" s="201"/>
      <c r="E118" s="195">
        <v>100</v>
      </c>
      <c r="F118" s="233">
        <v>61.18</v>
      </c>
      <c r="G118" s="202">
        <f t="shared" si="6"/>
        <v>6118</v>
      </c>
      <c r="H118" s="317"/>
      <c r="J118" s="12"/>
    </row>
    <row r="119" spans="1:10" s="10" customFormat="1" ht="15.75" customHeight="1">
      <c r="A119" s="306"/>
      <c r="B119" s="307"/>
      <c r="C119" s="307"/>
      <c r="D119" s="307"/>
      <c r="E119" s="307"/>
      <c r="F119" s="307"/>
      <c r="G119" s="307"/>
      <c r="H119" s="308"/>
      <c r="I119" s="9"/>
      <c r="J119" s="12"/>
    </row>
    <row r="120" spans="1:10" s="10" customFormat="1" ht="15.75" customHeight="1">
      <c r="A120" s="296" t="s">
        <v>436</v>
      </c>
      <c r="B120" s="303" t="s">
        <v>267</v>
      </c>
      <c r="C120" s="304"/>
      <c r="D120" s="304"/>
      <c r="E120" s="304"/>
      <c r="F120" s="304"/>
      <c r="G120" s="305"/>
      <c r="H120" s="273">
        <f>SUM(G121:G129)</f>
        <v>14122.897999999999</v>
      </c>
      <c r="I120" s="9"/>
      <c r="J120" s="12"/>
    </row>
    <row r="121" spans="1:10" s="10" customFormat="1" ht="15.75" customHeight="1">
      <c r="A121" s="297" t="s">
        <v>89</v>
      </c>
      <c r="B121" s="274" t="s">
        <v>348</v>
      </c>
      <c r="C121" s="155" t="s">
        <v>274</v>
      </c>
      <c r="D121" s="203" t="s">
        <v>29</v>
      </c>
      <c r="E121" s="204">
        <v>96</v>
      </c>
      <c r="F121" s="204">
        <v>44.84</v>
      </c>
      <c r="G121" s="205">
        <f t="shared" ref="G121:G129" si="7">+F121*E121</f>
        <v>4304.6400000000003</v>
      </c>
      <c r="H121" s="318"/>
      <c r="I121" s="9"/>
      <c r="J121" s="12"/>
    </row>
    <row r="122" spans="1:10" s="220" customFormat="1" ht="15.75" customHeight="1">
      <c r="A122" s="298" t="s">
        <v>90</v>
      </c>
      <c r="B122" s="275" t="s">
        <v>268</v>
      </c>
      <c r="C122" s="155"/>
      <c r="D122" s="222" t="s">
        <v>29</v>
      </c>
      <c r="E122" s="223">
        <v>32</v>
      </c>
      <c r="F122" s="223">
        <f>33.8*1.15</f>
        <v>38.86999999999999</v>
      </c>
      <c r="G122" s="224">
        <f t="shared" si="7"/>
        <v>1243.8399999999997</v>
      </c>
      <c r="H122" s="319"/>
      <c r="J122" s="221"/>
    </row>
    <row r="123" spans="1:10" s="220" customFormat="1" ht="15.75" customHeight="1">
      <c r="A123" s="298" t="s">
        <v>54</v>
      </c>
      <c r="B123" s="275" t="s">
        <v>269</v>
      </c>
      <c r="C123" s="155"/>
      <c r="D123" s="222" t="s">
        <v>29</v>
      </c>
      <c r="E123" s="223">
        <v>8</v>
      </c>
      <c r="F123" s="223">
        <f>33.8*1.15</f>
        <v>38.86999999999999</v>
      </c>
      <c r="G123" s="224">
        <f t="shared" si="7"/>
        <v>310.95999999999992</v>
      </c>
      <c r="H123" s="319"/>
      <c r="J123" s="221"/>
    </row>
    <row r="124" spans="1:10" s="10" customFormat="1" ht="15.75" customHeight="1">
      <c r="A124" s="297" t="s">
        <v>315</v>
      </c>
      <c r="B124" s="274" t="s">
        <v>271</v>
      </c>
      <c r="C124" s="155" t="s">
        <v>275</v>
      </c>
      <c r="D124" s="203" t="s">
        <v>29</v>
      </c>
      <c r="E124" s="204">
        <v>9</v>
      </c>
      <c r="F124" s="204">
        <v>35.909999999999997</v>
      </c>
      <c r="G124" s="205">
        <f t="shared" si="7"/>
        <v>323.18999999999994</v>
      </c>
      <c r="H124" s="319"/>
      <c r="I124" s="9"/>
      <c r="J124" s="12"/>
    </row>
    <row r="125" spans="1:10" s="220" customFormat="1" ht="15.75" customHeight="1">
      <c r="A125" s="298" t="s">
        <v>316</v>
      </c>
      <c r="B125" s="275" t="s">
        <v>272</v>
      </c>
      <c r="C125" s="155"/>
      <c r="D125" s="222" t="s">
        <v>29</v>
      </c>
      <c r="E125" s="223">
        <v>9</v>
      </c>
      <c r="F125" s="223">
        <f>15.34*1.15</f>
        <v>17.640999999999998</v>
      </c>
      <c r="G125" s="224">
        <f t="shared" si="7"/>
        <v>158.76899999999998</v>
      </c>
      <c r="H125" s="319"/>
      <c r="J125" s="221"/>
    </row>
    <row r="126" spans="1:10" s="213" customFormat="1" ht="15.75" customHeight="1">
      <c r="A126" s="298" t="s">
        <v>317</v>
      </c>
      <c r="B126" s="275" t="s">
        <v>273</v>
      </c>
      <c r="C126" s="155"/>
      <c r="D126" s="222" t="s">
        <v>29</v>
      </c>
      <c r="E126" s="223">
        <v>9</v>
      </c>
      <c r="F126" s="223">
        <f>15.34*1.15</f>
        <v>17.640999999999998</v>
      </c>
      <c r="G126" s="224">
        <f t="shared" si="7"/>
        <v>158.76899999999998</v>
      </c>
      <c r="H126" s="319"/>
      <c r="J126" s="214"/>
    </row>
    <row r="127" spans="1:10" s="181" customFormat="1" ht="15.75" customHeight="1">
      <c r="A127" s="297" t="s">
        <v>318</v>
      </c>
      <c r="B127" s="274" t="s">
        <v>349</v>
      </c>
      <c r="C127" s="155" t="s">
        <v>276</v>
      </c>
      <c r="D127" s="203" t="s">
        <v>1</v>
      </c>
      <c r="E127" s="204">
        <v>127</v>
      </c>
      <c r="F127" s="204">
        <v>6.39</v>
      </c>
      <c r="G127" s="205">
        <f t="shared" si="7"/>
        <v>811.53</v>
      </c>
      <c r="H127" s="319"/>
      <c r="J127" s="192"/>
    </row>
    <row r="128" spans="1:10" ht="15.75" customHeight="1">
      <c r="A128" s="297" t="s">
        <v>55</v>
      </c>
      <c r="B128" s="274" t="s">
        <v>350</v>
      </c>
      <c r="C128" s="155" t="s">
        <v>277</v>
      </c>
      <c r="D128" s="203" t="s">
        <v>1</v>
      </c>
      <c r="E128" s="204">
        <v>140</v>
      </c>
      <c r="F128" s="204">
        <v>16.02</v>
      </c>
      <c r="G128" s="205">
        <f t="shared" si="7"/>
        <v>2242.7999999999997</v>
      </c>
      <c r="H128" s="319"/>
      <c r="J128" s="11"/>
    </row>
    <row r="129" spans="1:10" ht="15.75" customHeight="1">
      <c r="A129" s="297" t="s">
        <v>56</v>
      </c>
      <c r="B129" s="274" t="s">
        <v>351</v>
      </c>
      <c r="C129" s="155" t="s">
        <v>278</v>
      </c>
      <c r="D129" s="203" t="s">
        <v>1</v>
      </c>
      <c r="E129" s="204">
        <v>180</v>
      </c>
      <c r="F129" s="204">
        <v>25.38</v>
      </c>
      <c r="G129" s="205">
        <f t="shared" si="7"/>
        <v>4568.3999999999996</v>
      </c>
      <c r="H129" s="320"/>
      <c r="J129" s="11"/>
    </row>
    <row r="130" spans="1:10" ht="15.75" customHeight="1">
      <c r="A130" s="306"/>
      <c r="B130" s="307"/>
      <c r="C130" s="307"/>
      <c r="D130" s="307"/>
      <c r="E130" s="307"/>
      <c r="F130" s="307"/>
      <c r="G130" s="307"/>
      <c r="H130" s="308"/>
      <c r="J130" s="11"/>
    </row>
    <row r="131" spans="1:10" ht="15.75" customHeight="1">
      <c r="A131" s="299" t="s">
        <v>33</v>
      </c>
      <c r="B131" s="303" t="s">
        <v>78</v>
      </c>
      <c r="C131" s="304"/>
      <c r="D131" s="304"/>
      <c r="E131" s="304"/>
      <c r="F131" s="304"/>
      <c r="G131" s="305"/>
      <c r="H131" s="245">
        <f>SUM(G132:G138)</f>
        <v>13521.132</v>
      </c>
      <c r="J131" s="11"/>
    </row>
    <row r="132" spans="1:10" ht="15.75" customHeight="1">
      <c r="A132" s="300" t="s">
        <v>437</v>
      </c>
      <c r="B132" s="258" t="s">
        <v>263</v>
      </c>
      <c r="C132" s="155" t="s">
        <v>354</v>
      </c>
      <c r="D132" s="154" t="s">
        <v>29</v>
      </c>
      <c r="E132" s="162">
        <v>8</v>
      </c>
      <c r="F132" s="175">
        <v>431.14</v>
      </c>
      <c r="G132" s="157">
        <f t="shared" ref="G132:G138" si="8">F132*E132</f>
        <v>3449.12</v>
      </c>
      <c r="H132" s="321"/>
      <c r="J132" s="11"/>
    </row>
    <row r="133" spans="1:10" ht="15.75" customHeight="1">
      <c r="A133" s="300" t="s">
        <v>438</v>
      </c>
      <c r="B133" s="258" t="s">
        <v>73</v>
      </c>
      <c r="C133" s="155" t="s">
        <v>145</v>
      </c>
      <c r="D133" s="154" t="s">
        <v>29</v>
      </c>
      <c r="E133" s="156">
        <v>8</v>
      </c>
      <c r="F133" s="156">
        <v>112.85</v>
      </c>
      <c r="G133" s="157">
        <f t="shared" si="8"/>
        <v>902.8</v>
      </c>
      <c r="H133" s="322"/>
      <c r="J133" s="11"/>
    </row>
    <row r="134" spans="1:10" ht="15.75" customHeight="1">
      <c r="A134" s="300" t="s">
        <v>439</v>
      </c>
      <c r="B134" s="258" t="s">
        <v>146</v>
      </c>
      <c r="C134" s="155" t="s">
        <v>147</v>
      </c>
      <c r="D134" s="154" t="s">
        <v>29</v>
      </c>
      <c r="E134" s="156">
        <v>3</v>
      </c>
      <c r="F134" s="156">
        <v>128.30000000000001</v>
      </c>
      <c r="G134" s="157">
        <f t="shared" si="8"/>
        <v>384.90000000000003</v>
      </c>
      <c r="H134" s="322"/>
      <c r="J134" s="11"/>
    </row>
    <row r="135" spans="1:10" ht="15.75" customHeight="1">
      <c r="A135" s="300" t="s">
        <v>440</v>
      </c>
      <c r="B135" s="258" t="s">
        <v>148</v>
      </c>
      <c r="C135" s="155" t="s">
        <v>149</v>
      </c>
      <c r="D135" s="154" t="s">
        <v>29</v>
      </c>
      <c r="E135" s="156">
        <v>7</v>
      </c>
      <c r="F135" s="156">
        <v>21.54</v>
      </c>
      <c r="G135" s="157">
        <f t="shared" si="8"/>
        <v>150.78</v>
      </c>
      <c r="H135" s="322"/>
      <c r="J135" s="11"/>
    </row>
    <row r="136" spans="1:10" ht="15.75" customHeight="1">
      <c r="A136" s="300" t="s">
        <v>441</v>
      </c>
      <c r="B136" s="258" t="s">
        <v>77</v>
      </c>
      <c r="C136" s="155" t="s">
        <v>150</v>
      </c>
      <c r="D136" s="154" t="s">
        <v>28</v>
      </c>
      <c r="E136" s="156">
        <v>57</v>
      </c>
      <c r="F136" s="156">
        <v>11.64</v>
      </c>
      <c r="G136" s="157">
        <f t="shared" si="8"/>
        <v>663.48</v>
      </c>
      <c r="H136" s="322"/>
      <c r="J136" s="11"/>
    </row>
    <row r="137" spans="1:10" s="213" customFormat="1" ht="15.75" customHeight="1">
      <c r="A137" s="301" t="s">
        <v>442</v>
      </c>
      <c r="B137" s="276" t="s">
        <v>264</v>
      </c>
      <c r="C137" s="155"/>
      <c r="D137" s="225" t="s">
        <v>29</v>
      </c>
      <c r="E137" s="226">
        <v>2</v>
      </c>
      <c r="F137" s="226">
        <f>523.56*1.15</f>
        <v>602.09399999999994</v>
      </c>
      <c r="G137" s="210">
        <f t="shared" si="8"/>
        <v>1204.1879999999999</v>
      </c>
      <c r="H137" s="322"/>
      <c r="J137" s="214"/>
    </row>
    <row r="138" spans="1:10" s="213" customFormat="1" ht="15.75" customHeight="1">
      <c r="A138" s="301" t="s">
        <v>443</v>
      </c>
      <c r="B138" s="277" t="s">
        <v>266</v>
      </c>
      <c r="C138" s="155"/>
      <c r="D138" s="225" t="s">
        <v>1</v>
      </c>
      <c r="E138" s="227">
        <v>68</v>
      </c>
      <c r="F138" s="226">
        <f>86.52*1.15</f>
        <v>99.49799999999999</v>
      </c>
      <c r="G138" s="210">
        <f t="shared" si="8"/>
        <v>6765.8639999999996</v>
      </c>
      <c r="H138" s="323"/>
      <c r="J138" s="214"/>
    </row>
    <row r="139" spans="1:10" ht="15.75" customHeight="1">
      <c r="A139" s="306"/>
      <c r="B139" s="307"/>
      <c r="C139" s="307"/>
      <c r="D139" s="307"/>
      <c r="E139" s="307"/>
      <c r="F139" s="307"/>
      <c r="G139" s="307"/>
      <c r="H139" s="308"/>
      <c r="J139" s="11"/>
    </row>
    <row r="140" spans="1:10" ht="15.75" customHeight="1">
      <c r="A140" s="285" t="s">
        <v>5</v>
      </c>
      <c r="B140" s="303" t="s">
        <v>32</v>
      </c>
      <c r="C140" s="304"/>
      <c r="D140" s="304"/>
      <c r="E140" s="304"/>
      <c r="F140" s="304"/>
      <c r="G140" s="305"/>
      <c r="H140" s="245">
        <f>SUM(G141:G153)</f>
        <v>106040.32560000001</v>
      </c>
      <c r="J140" s="11"/>
    </row>
    <row r="141" spans="1:10" ht="15.75" customHeight="1">
      <c r="A141" s="289" t="s">
        <v>59</v>
      </c>
      <c r="B141" s="258" t="s">
        <v>151</v>
      </c>
      <c r="C141" s="155" t="s">
        <v>312</v>
      </c>
      <c r="D141" s="154" t="s">
        <v>28</v>
      </c>
      <c r="E141" s="156">
        <v>100</v>
      </c>
      <c r="F141" s="156">
        <v>3.04</v>
      </c>
      <c r="G141" s="157">
        <f t="shared" ref="G141:G147" si="9">F141*E141</f>
        <v>304</v>
      </c>
      <c r="H141" s="315"/>
      <c r="J141" s="11"/>
    </row>
    <row r="142" spans="1:10" ht="15.75" customHeight="1">
      <c r="A142" s="289" t="s">
        <v>60</v>
      </c>
      <c r="B142" s="258" t="s">
        <v>152</v>
      </c>
      <c r="C142" s="155" t="s">
        <v>313</v>
      </c>
      <c r="D142" s="154" t="s">
        <v>28</v>
      </c>
      <c r="E142" s="156">
        <v>200</v>
      </c>
      <c r="F142" s="156">
        <v>17</v>
      </c>
      <c r="G142" s="157">
        <f t="shared" si="9"/>
        <v>3400</v>
      </c>
      <c r="H142" s="316"/>
      <c r="J142" s="11"/>
    </row>
    <row r="143" spans="1:10" ht="15.75" customHeight="1">
      <c r="A143" s="289" t="s">
        <v>61</v>
      </c>
      <c r="B143" s="258" t="s">
        <v>79</v>
      </c>
      <c r="C143" s="155" t="s">
        <v>153</v>
      </c>
      <c r="D143" s="154" t="s">
        <v>28</v>
      </c>
      <c r="E143" s="156">
        <v>241</v>
      </c>
      <c r="F143" s="156">
        <v>16.54</v>
      </c>
      <c r="G143" s="157">
        <f t="shared" si="9"/>
        <v>3986.14</v>
      </c>
      <c r="H143" s="316"/>
      <c r="J143" s="11"/>
    </row>
    <row r="144" spans="1:10" ht="15.75" customHeight="1">
      <c r="A144" s="289" t="s">
        <v>62</v>
      </c>
      <c r="B144" s="258" t="s">
        <v>338</v>
      </c>
      <c r="C144" s="155" t="s">
        <v>466</v>
      </c>
      <c r="D144" s="154" t="s">
        <v>28</v>
      </c>
      <c r="E144" s="156">
        <v>980</v>
      </c>
      <c r="F144" s="157">
        <v>30.85</v>
      </c>
      <c r="G144" s="157">
        <f t="shared" si="9"/>
        <v>30233</v>
      </c>
      <c r="H144" s="316"/>
      <c r="J144" s="118"/>
    </row>
    <row r="145" spans="1:10" s="174" customFormat="1" ht="15.75" customHeight="1">
      <c r="A145" s="289" t="s">
        <v>63</v>
      </c>
      <c r="B145" s="278" t="s">
        <v>340</v>
      </c>
      <c r="C145" s="155" t="s">
        <v>464</v>
      </c>
      <c r="D145" s="173" t="s">
        <v>28</v>
      </c>
      <c r="E145" s="177">
        <v>81</v>
      </c>
      <c r="F145" s="167">
        <v>31.34</v>
      </c>
      <c r="G145" s="178">
        <f t="shared" si="9"/>
        <v>2538.54</v>
      </c>
      <c r="H145" s="316"/>
      <c r="J145" s="180"/>
    </row>
    <row r="146" spans="1:10" ht="15.75" customHeight="1">
      <c r="A146" s="289" t="s">
        <v>64</v>
      </c>
      <c r="B146" s="258" t="s">
        <v>339</v>
      </c>
      <c r="C146" s="155" t="s">
        <v>465</v>
      </c>
      <c r="D146" s="167" t="s">
        <v>28</v>
      </c>
      <c r="E146" s="170">
        <v>111.52</v>
      </c>
      <c r="F146" s="170">
        <v>103.35</v>
      </c>
      <c r="G146" s="170">
        <f t="shared" si="9"/>
        <v>11525.591999999999</v>
      </c>
      <c r="H146" s="316"/>
      <c r="J146" s="12"/>
    </row>
    <row r="147" spans="1:10" ht="15.75" customHeight="1">
      <c r="A147" s="289" t="s">
        <v>66</v>
      </c>
      <c r="B147" s="263" t="s">
        <v>203</v>
      </c>
      <c r="C147" s="155" t="s">
        <v>204</v>
      </c>
      <c r="D147" s="167" t="s">
        <v>28</v>
      </c>
      <c r="E147" s="167">
        <v>23.22</v>
      </c>
      <c r="F147" s="167">
        <v>57.43</v>
      </c>
      <c r="G147" s="170">
        <f t="shared" si="9"/>
        <v>1333.5246</v>
      </c>
      <c r="H147" s="316"/>
      <c r="J147" s="12"/>
    </row>
    <row r="148" spans="1:10" ht="15.75" customHeight="1">
      <c r="A148" s="289" t="s">
        <v>67</v>
      </c>
      <c r="B148" s="258" t="s">
        <v>154</v>
      </c>
      <c r="C148" s="155" t="s">
        <v>155</v>
      </c>
      <c r="D148" s="154" t="s">
        <v>28</v>
      </c>
      <c r="E148" s="156">
        <v>601.79999999999995</v>
      </c>
      <c r="F148" s="156">
        <v>9.9</v>
      </c>
      <c r="G148" s="157">
        <f t="shared" ref="G148:G153" si="10">F148*E148</f>
        <v>5957.82</v>
      </c>
      <c r="H148" s="316"/>
      <c r="J148" s="12"/>
    </row>
    <row r="149" spans="1:10" ht="15.75" customHeight="1">
      <c r="A149" s="289" t="s">
        <v>68</v>
      </c>
      <c r="B149" s="258" t="s">
        <v>156</v>
      </c>
      <c r="C149" s="155" t="s">
        <v>157</v>
      </c>
      <c r="D149" s="154" t="s">
        <v>28</v>
      </c>
      <c r="E149" s="156">
        <v>601.79999999999995</v>
      </c>
      <c r="F149" s="157">
        <v>56.72</v>
      </c>
      <c r="G149" s="157">
        <f t="shared" si="10"/>
        <v>34134.095999999998</v>
      </c>
      <c r="H149" s="316"/>
      <c r="J149" s="12"/>
    </row>
    <row r="150" spans="1:10" ht="15.75" customHeight="1">
      <c r="A150" s="289" t="s">
        <v>347</v>
      </c>
      <c r="B150" s="258" t="s">
        <v>158</v>
      </c>
      <c r="C150" s="155" t="s">
        <v>159</v>
      </c>
      <c r="D150" s="154" t="s">
        <v>1</v>
      </c>
      <c r="E150" s="168">
        <v>494</v>
      </c>
      <c r="F150" s="157">
        <v>12.71</v>
      </c>
      <c r="G150" s="157">
        <f t="shared" si="10"/>
        <v>6278.7400000000007</v>
      </c>
      <c r="H150" s="316"/>
      <c r="J150" s="12"/>
    </row>
    <row r="151" spans="1:10" ht="15.75" customHeight="1">
      <c r="A151" s="289" t="s">
        <v>69</v>
      </c>
      <c r="B151" s="258" t="s">
        <v>92</v>
      </c>
      <c r="C151" s="155" t="s">
        <v>160</v>
      </c>
      <c r="D151" s="154" t="s">
        <v>1</v>
      </c>
      <c r="E151" s="156">
        <v>34.200000000000003</v>
      </c>
      <c r="F151" s="156">
        <v>35.22</v>
      </c>
      <c r="G151" s="157">
        <f t="shared" si="10"/>
        <v>1204.5240000000001</v>
      </c>
      <c r="H151" s="316"/>
      <c r="J151" s="12"/>
    </row>
    <row r="152" spans="1:10" ht="15.75" customHeight="1">
      <c r="A152" s="289" t="s">
        <v>70</v>
      </c>
      <c r="B152" s="258" t="s">
        <v>182</v>
      </c>
      <c r="C152" s="155" t="s">
        <v>183</v>
      </c>
      <c r="D152" s="154" t="s">
        <v>28</v>
      </c>
      <c r="E152" s="156">
        <v>162.30000000000001</v>
      </c>
      <c r="F152" s="156">
        <f>22.25+7.8</f>
        <v>30.05</v>
      </c>
      <c r="G152" s="157">
        <f t="shared" si="10"/>
        <v>4877.1150000000007</v>
      </c>
      <c r="H152" s="316"/>
      <c r="J152" s="12"/>
    </row>
    <row r="153" spans="1:10" ht="15.75" customHeight="1">
      <c r="A153" s="289" t="s">
        <v>71</v>
      </c>
      <c r="B153" s="258" t="s">
        <v>205</v>
      </c>
      <c r="C153" s="155" t="s">
        <v>206</v>
      </c>
      <c r="D153" s="154" t="s">
        <v>28</v>
      </c>
      <c r="E153" s="156">
        <v>6.6</v>
      </c>
      <c r="F153" s="175">
        <v>40.49</v>
      </c>
      <c r="G153" s="157">
        <f t="shared" si="10"/>
        <v>267.23399999999998</v>
      </c>
      <c r="H153" s="317"/>
      <c r="J153" s="12"/>
    </row>
    <row r="154" spans="1:10" ht="15.75" customHeight="1">
      <c r="A154" s="306"/>
      <c r="B154" s="307"/>
      <c r="C154" s="307"/>
      <c r="D154" s="307"/>
      <c r="E154" s="307"/>
      <c r="F154" s="307"/>
      <c r="G154" s="307"/>
      <c r="H154" s="308"/>
      <c r="J154" s="12"/>
    </row>
    <row r="155" spans="1:10" ht="15.75" customHeight="1">
      <c r="A155" s="285" t="s">
        <v>6</v>
      </c>
      <c r="B155" s="303" t="s">
        <v>16</v>
      </c>
      <c r="C155" s="304"/>
      <c r="D155" s="304"/>
      <c r="E155" s="304"/>
      <c r="F155" s="304"/>
      <c r="G155" s="305"/>
      <c r="H155" s="245">
        <f>SUM(G156:G161)</f>
        <v>36327.238000000005</v>
      </c>
      <c r="J155" s="12"/>
    </row>
    <row r="156" spans="1:10" ht="15.75" customHeight="1">
      <c r="A156" s="289" t="s">
        <v>444</v>
      </c>
      <c r="B156" s="264" t="s">
        <v>323</v>
      </c>
      <c r="C156" s="159" t="s">
        <v>226</v>
      </c>
      <c r="D156" s="154" t="s">
        <v>28</v>
      </c>
      <c r="E156" s="156">
        <v>1490</v>
      </c>
      <c r="F156" s="156">
        <v>8.48</v>
      </c>
      <c r="G156" s="157">
        <f t="shared" ref="G156:G161" si="11">F156*E156</f>
        <v>12635.2</v>
      </c>
      <c r="H156" s="315"/>
      <c r="J156" s="12"/>
    </row>
    <row r="157" spans="1:10" ht="15.75" customHeight="1">
      <c r="A157" s="289" t="s">
        <v>445</v>
      </c>
      <c r="B157" s="264" t="s">
        <v>184</v>
      </c>
      <c r="C157" s="159" t="s">
        <v>225</v>
      </c>
      <c r="D157" s="154" t="s">
        <v>28</v>
      </c>
      <c r="E157" s="156">
        <v>1490</v>
      </c>
      <c r="F157" s="156">
        <v>9.2799999999999994</v>
      </c>
      <c r="G157" s="157">
        <f t="shared" si="11"/>
        <v>13827.199999999999</v>
      </c>
      <c r="H157" s="316"/>
      <c r="J157" s="12"/>
    </row>
    <row r="158" spans="1:10" ht="15.75" customHeight="1">
      <c r="A158" s="289" t="s">
        <v>446</v>
      </c>
      <c r="B158" s="264" t="s">
        <v>185</v>
      </c>
      <c r="C158" s="159" t="s">
        <v>227</v>
      </c>
      <c r="D158" s="159" t="s">
        <v>28</v>
      </c>
      <c r="E158" s="156">
        <v>256</v>
      </c>
      <c r="F158" s="157">
        <v>9.6199999999999992</v>
      </c>
      <c r="G158" s="157">
        <f t="shared" si="11"/>
        <v>2462.7199999999998</v>
      </c>
      <c r="H158" s="316"/>
      <c r="J158" s="12"/>
    </row>
    <row r="159" spans="1:10" ht="15.75" customHeight="1">
      <c r="A159" s="289" t="s">
        <v>447</v>
      </c>
      <c r="B159" s="248" t="s">
        <v>186</v>
      </c>
      <c r="C159" s="160" t="s">
        <v>161</v>
      </c>
      <c r="D159" s="154" t="s">
        <v>28</v>
      </c>
      <c r="E159" s="157">
        <v>246</v>
      </c>
      <c r="F159" s="157">
        <v>18.489999999999998</v>
      </c>
      <c r="G159" s="157">
        <f t="shared" si="11"/>
        <v>4548.54</v>
      </c>
      <c r="H159" s="316"/>
      <c r="J159" s="12"/>
    </row>
    <row r="160" spans="1:10" ht="15.75" customHeight="1">
      <c r="A160" s="289" t="s">
        <v>448</v>
      </c>
      <c r="B160" s="258" t="s">
        <v>162</v>
      </c>
      <c r="C160" s="154" t="s">
        <v>163</v>
      </c>
      <c r="D160" s="154" t="s">
        <v>28</v>
      </c>
      <c r="E160" s="156">
        <v>42</v>
      </c>
      <c r="F160" s="157">
        <v>13.21</v>
      </c>
      <c r="G160" s="157">
        <f t="shared" si="11"/>
        <v>554.82000000000005</v>
      </c>
      <c r="H160" s="316"/>
      <c r="J160" s="12"/>
    </row>
    <row r="161" spans="1:10" s="213" customFormat="1" ht="15.75" customHeight="1">
      <c r="A161" s="294" t="s">
        <v>449</v>
      </c>
      <c r="B161" s="279" t="s">
        <v>228</v>
      </c>
      <c r="C161" s="284"/>
      <c r="D161" s="217" t="s">
        <v>28</v>
      </c>
      <c r="E161" s="218">
        <v>242</v>
      </c>
      <c r="F161" s="211">
        <f>8.26*1.15</f>
        <v>9.4989999999999988</v>
      </c>
      <c r="G161" s="218">
        <f t="shared" si="11"/>
        <v>2298.7579999999998</v>
      </c>
      <c r="H161" s="317"/>
      <c r="J161" s="221"/>
    </row>
    <row r="162" spans="1:10" ht="15.75" customHeight="1">
      <c r="A162" s="306"/>
      <c r="B162" s="307"/>
      <c r="C162" s="307"/>
      <c r="D162" s="307"/>
      <c r="E162" s="307"/>
      <c r="F162" s="307"/>
      <c r="G162" s="307"/>
      <c r="H162" s="308"/>
      <c r="J162" s="12"/>
    </row>
    <row r="163" spans="1:10" ht="15.75" customHeight="1">
      <c r="A163" s="292" t="s">
        <v>7</v>
      </c>
      <c r="B163" s="303" t="s">
        <v>280</v>
      </c>
      <c r="C163" s="304"/>
      <c r="D163" s="304"/>
      <c r="E163" s="304"/>
      <c r="F163" s="304"/>
      <c r="G163" s="305"/>
      <c r="H163" s="280">
        <f>SUM(G164:G182)</f>
        <v>151816.10974000001</v>
      </c>
      <c r="J163" s="12"/>
    </row>
    <row r="164" spans="1:10" ht="15.75" customHeight="1">
      <c r="A164" s="289" t="s">
        <v>72</v>
      </c>
      <c r="B164" s="274" t="s">
        <v>281</v>
      </c>
      <c r="C164" s="155" t="s">
        <v>164</v>
      </c>
      <c r="D164" s="154" t="s">
        <v>29</v>
      </c>
      <c r="E164" s="156">
        <v>2</v>
      </c>
      <c r="F164" s="156">
        <v>46.1</v>
      </c>
      <c r="G164" s="157">
        <f t="shared" ref="G164:G178" si="12">F164*E164</f>
        <v>92.2</v>
      </c>
      <c r="H164" s="315"/>
      <c r="J164" s="12"/>
    </row>
    <row r="165" spans="1:10" ht="15.75" customHeight="1">
      <c r="A165" s="289" t="s">
        <v>74</v>
      </c>
      <c r="B165" s="274" t="s">
        <v>282</v>
      </c>
      <c r="C165" s="155" t="s">
        <v>355</v>
      </c>
      <c r="D165" s="154" t="s">
        <v>28</v>
      </c>
      <c r="E165" s="156">
        <v>2</v>
      </c>
      <c r="F165" s="156">
        <v>530.82000000000005</v>
      </c>
      <c r="G165" s="157">
        <f t="shared" si="12"/>
        <v>1061.6400000000001</v>
      </c>
      <c r="H165" s="316"/>
      <c r="J165" s="12"/>
    </row>
    <row r="166" spans="1:10" ht="15.75" customHeight="1">
      <c r="A166" s="289" t="s">
        <v>75</v>
      </c>
      <c r="B166" s="274" t="s">
        <v>356</v>
      </c>
      <c r="C166" s="155" t="s">
        <v>357</v>
      </c>
      <c r="D166" s="154" t="s">
        <v>29</v>
      </c>
      <c r="E166" s="156">
        <v>2.84</v>
      </c>
      <c r="F166" s="156">
        <v>210</v>
      </c>
      <c r="G166" s="157">
        <f t="shared" si="12"/>
        <v>596.4</v>
      </c>
      <c r="H166" s="316"/>
      <c r="J166" s="12"/>
    </row>
    <row r="167" spans="1:10" ht="15.75" customHeight="1">
      <c r="A167" s="289" t="s">
        <v>265</v>
      </c>
      <c r="B167" s="274" t="s">
        <v>314</v>
      </c>
      <c r="C167" s="155" t="s">
        <v>358</v>
      </c>
      <c r="D167" s="154" t="s">
        <v>28</v>
      </c>
      <c r="E167" s="156">
        <v>9.1999999999999993</v>
      </c>
      <c r="F167" s="156">
        <v>45.16</v>
      </c>
      <c r="G167" s="157">
        <f t="shared" si="12"/>
        <v>415.47199999999992</v>
      </c>
      <c r="H167" s="316"/>
      <c r="J167" s="12"/>
    </row>
    <row r="168" spans="1:10" s="213" customFormat="1" ht="15.75" customHeight="1">
      <c r="A168" s="294" t="s">
        <v>76</v>
      </c>
      <c r="B168" s="275" t="s">
        <v>283</v>
      </c>
      <c r="C168" s="207"/>
      <c r="D168" s="208" t="s">
        <v>1</v>
      </c>
      <c r="E168" s="228">
        <v>0.15</v>
      </c>
      <c r="F168" s="209">
        <f>874.22*1.15</f>
        <v>1005.353</v>
      </c>
      <c r="G168" s="210">
        <f t="shared" si="12"/>
        <v>150.80294999999998</v>
      </c>
      <c r="H168" s="316"/>
      <c r="J168" s="221"/>
    </row>
    <row r="169" spans="1:10" s="213" customFormat="1" ht="15.75" customHeight="1">
      <c r="A169" s="294" t="s">
        <v>352</v>
      </c>
      <c r="B169" s="275" t="s">
        <v>284</v>
      </c>
      <c r="C169" s="207"/>
      <c r="D169" s="208" t="s">
        <v>1</v>
      </c>
      <c r="E169" s="228">
        <v>112.91</v>
      </c>
      <c r="F169" s="209">
        <f>162.06*1.15</f>
        <v>186.369</v>
      </c>
      <c r="G169" s="210">
        <f t="shared" si="12"/>
        <v>21042.923790000001</v>
      </c>
      <c r="H169" s="316"/>
      <c r="J169" s="221"/>
    </row>
    <row r="170" spans="1:10" ht="15.75" customHeight="1">
      <c r="A170" s="289" t="s">
        <v>353</v>
      </c>
      <c r="B170" s="274" t="s">
        <v>359</v>
      </c>
      <c r="C170" s="155" t="s">
        <v>165</v>
      </c>
      <c r="D170" s="154" t="s">
        <v>1</v>
      </c>
      <c r="E170" s="169">
        <v>7.7</v>
      </c>
      <c r="F170" s="156">
        <v>60.21</v>
      </c>
      <c r="G170" s="157">
        <f t="shared" si="12"/>
        <v>463.61700000000002</v>
      </c>
      <c r="H170" s="316"/>
      <c r="J170" s="12"/>
    </row>
    <row r="171" spans="1:10" s="220" customFormat="1" ht="15.75" customHeight="1">
      <c r="A171" s="294" t="s">
        <v>450</v>
      </c>
      <c r="B171" s="275" t="s">
        <v>285</v>
      </c>
      <c r="C171" s="207"/>
      <c r="D171" s="208" t="s">
        <v>1</v>
      </c>
      <c r="E171" s="228">
        <v>2.56</v>
      </c>
      <c r="F171" s="209">
        <f>111.75*0.15</f>
        <v>16.762499999999999</v>
      </c>
      <c r="G171" s="210">
        <f t="shared" si="12"/>
        <v>42.911999999999999</v>
      </c>
      <c r="H171" s="316"/>
      <c r="J171" s="221"/>
    </row>
    <row r="172" spans="1:10" s="229" customFormat="1" ht="15.75" customHeight="1">
      <c r="A172" s="294" t="s">
        <v>451</v>
      </c>
      <c r="B172" s="275" t="s">
        <v>286</v>
      </c>
      <c r="C172" s="207"/>
      <c r="D172" s="208" t="s">
        <v>28</v>
      </c>
      <c r="E172" s="228">
        <v>76.7</v>
      </c>
      <c r="F172" s="209">
        <f>975*1.15</f>
        <v>1121.25</v>
      </c>
      <c r="G172" s="210">
        <f t="shared" si="12"/>
        <v>85999.875</v>
      </c>
      <c r="H172" s="316"/>
      <c r="J172" s="230"/>
    </row>
    <row r="173" spans="1:10" s="213" customFormat="1" ht="15.75" customHeight="1">
      <c r="A173" s="294" t="s">
        <v>452</v>
      </c>
      <c r="B173" s="275" t="s">
        <v>287</v>
      </c>
      <c r="C173" s="207"/>
      <c r="D173" s="208" t="s">
        <v>28</v>
      </c>
      <c r="E173" s="209">
        <v>14.3</v>
      </c>
      <c r="F173" s="209">
        <f>975*1.15</f>
        <v>1121.25</v>
      </c>
      <c r="G173" s="210">
        <f t="shared" si="12"/>
        <v>16033.875</v>
      </c>
      <c r="H173" s="316"/>
      <c r="J173" s="214"/>
    </row>
    <row r="174" spans="1:10" ht="15.75" customHeight="1">
      <c r="A174" s="289" t="s">
        <v>453</v>
      </c>
      <c r="B174" s="274" t="s">
        <v>288</v>
      </c>
      <c r="C174" s="155" t="s">
        <v>360</v>
      </c>
      <c r="D174" s="154" t="s">
        <v>1</v>
      </c>
      <c r="E174" s="156">
        <v>43.2</v>
      </c>
      <c r="F174" s="156">
        <v>156.22</v>
      </c>
      <c r="G174" s="157">
        <f t="shared" si="12"/>
        <v>6748.7040000000006</v>
      </c>
      <c r="H174" s="316"/>
      <c r="J174" s="11"/>
    </row>
    <row r="175" spans="1:10" s="213" customFormat="1" ht="15.75" customHeight="1">
      <c r="A175" s="294" t="s">
        <v>454</v>
      </c>
      <c r="B175" s="275" t="s">
        <v>289</v>
      </c>
      <c r="C175" s="207"/>
      <c r="D175" s="208" t="s">
        <v>1</v>
      </c>
      <c r="E175" s="209">
        <v>200</v>
      </c>
      <c r="F175" s="209">
        <f>18.2*1.15</f>
        <v>20.929999999999996</v>
      </c>
      <c r="G175" s="210">
        <f t="shared" si="12"/>
        <v>4185.9999999999991</v>
      </c>
      <c r="H175" s="316"/>
      <c r="J175" s="214"/>
    </row>
    <row r="176" spans="1:10" s="220" customFormat="1" ht="15.75" customHeight="1">
      <c r="A176" s="294" t="s">
        <v>455</v>
      </c>
      <c r="B176" s="275" t="s">
        <v>290</v>
      </c>
      <c r="C176" s="207"/>
      <c r="D176" s="208" t="s">
        <v>1</v>
      </c>
      <c r="E176" s="209">
        <v>8</v>
      </c>
      <c r="F176" s="209">
        <f>146.38*1.15</f>
        <v>168.33699999999999</v>
      </c>
      <c r="G176" s="210">
        <f t="shared" si="12"/>
        <v>1346.6959999999999</v>
      </c>
      <c r="H176" s="316"/>
      <c r="J176" s="231"/>
    </row>
    <row r="177" spans="1:10" s="10" customFormat="1" ht="15.75" customHeight="1">
      <c r="A177" s="289" t="s">
        <v>456</v>
      </c>
      <c r="B177" s="274" t="s">
        <v>291</v>
      </c>
      <c r="C177" s="155" t="s">
        <v>361</v>
      </c>
      <c r="D177" s="154" t="s">
        <v>1</v>
      </c>
      <c r="E177" s="156">
        <v>8</v>
      </c>
      <c r="F177" s="156">
        <v>1145.17</v>
      </c>
      <c r="G177" s="157">
        <f t="shared" si="12"/>
        <v>9161.36</v>
      </c>
      <c r="H177" s="316"/>
      <c r="I177" s="9"/>
      <c r="J177" s="12"/>
    </row>
    <row r="178" spans="1:10" s="10" customFormat="1" ht="15.75" customHeight="1">
      <c r="A178" s="289" t="s">
        <v>457</v>
      </c>
      <c r="B178" s="274" t="s">
        <v>362</v>
      </c>
      <c r="C178" s="155" t="s">
        <v>363</v>
      </c>
      <c r="D178" s="154"/>
      <c r="E178" s="156">
        <v>43.2</v>
      </c>
      <c r="F178" s="156">
        <v>14.35</v>
      </c>
      <c r="G178" s="157">
        <f t="shared" si="12"/>
        <v>619.92000000000007</v>
      </c>
      <c r="H178" s="316"/>
      <c r="J178" s="12"/>
    </row>
    <row r="179" spans="1:10" s="10" customFormat="1" ht="15.75" customHeight="1">
      <c r="A179" s="289" t="s">
        <v>458</v>
      </c>
      <c r="B179" s="258" t="s">
        <v>166</v>
      </c>
      <c r="C179" s="155" t="s">
        <v>364</v>
      </c>
      <c r="D179" s="154" t="s">
        <v>29</v>
      </c>
      <c r="E179" s="156">
        <v>1</v>
      </c>
      <c r="F179" s="183">
        <v>1212.28</v>
      </c>
      <c r="G179" s="183">
        <f>F179*E179</f>
        <v>1212.28</v>
      </c>
      <c r="H179" s="316"/>
      <c r="I179" s="9"/>
      <c r="J179" s="12"/>
    </row>
    <row r="180" spans="1:10" s="10" customFormat="1" ht="15.75" customHeight="1">
      <c r="A180" s="289" t="s">
        <v>459</v>
      </c>
      <c r="B180" s="258" t="s">
        <v>308</v>
      </c>
      <c r="C180" s="155" t="s">
        <v>174</v>
      </c>
      <c r="D180" s="154" t="s">
        <v>29</v>
      </c>
      <c r="E180" s="156">
        <v>7</v>
      </c>
      <c r="F180" s="183">
        <v>140</v>
      </c>
      <c r="G180" s="183">
        <f>F180*E180</f>
        <v>980</v>
      </c>
      <c r="H180" s="316"/>
      <c r="I180" s="9"/>
      <c r="J180" s="12"/>
    </row>
    <row r="181" spans="1:10" s="213" customFormat="1" ht="15.75" customHeight="1">
      <c r="A181" s="294" t="s">
        <v>460</v>
      </c>
      <c r="B181" s="249" t="s">
        <v>167</v>
      </c>
      <c r="C181" s="207" t="s">
        <v>168</v>
      </c>
      <c r="D181" s="208" t="s">
        <v>30</v>
      </c>
      <c r="E181" s="209">
        <v>100</v>
      </c>
      <c r="F181" s="209">
        <f>7.67*1.15</f>
        <v>8.8204999999999991</v>
      </c>
      <c r="G181" s="210">
        <f>F181*E181</f>
        <v>882.05</v>
      </c>
      <c r="H181" s="316"/>
      <c r="J181" s="221"/>
    </row>
    <row r="182" spans="1:10" ht="15.75" customHeight="1">
      <c r="A182" s="289" t="s">
        <v>461</v>
      </c>
      <c r="B182" s="258" t="s">
        <v>82</v>
      </c>
      <c r="C182" s="155" t="s">
        <v>169</v>
      </c>
      <c r="D182" s="154" t="s">
        <v>28</v>
      </c>
      <c r="E182" s="156">
        <v>764.1</v>
      </c>
      <c r="F182" s="157">
        <v>1.02</v>
      </c>
      <c r="G182" s="157">
        <f>F182*E182</f>
        <v>779.38200000000006</v>
      </c>
      <c r="H182" s="317"/>
      <c r="J182" s="118"/>
    </row>
    <row r="183" spans="1:10" s="115" customFormat="1" ht="15.75" customHeight="1">
      <c r="A183" s="306"/>
      <c r="B183" s="307"/>
      <c r="C183" s="307"/>
      <c r="D183" s="307"/>
      <c r="E183" s="307"/>
      <c r="F183" s="307"/>
      <c r="G183" s="307"/>
      <c r="H183" s="308"/>
      <c r="J183" s="116"/>
    </row>
    <row r="184" spans="1:10" s="232" customFormat="1" ht="15.75" customHeight="1">
      <c r="A184" s="292" t="s">
        <v>8</v>
      </c>
      <c r="B184" s="303" t="s">
        <v>195</v>
      </c>
      <c r="C184" s="304"/>
      <c r="D184" s="304"/>
      <c r="E184" s="304"/>
      <c r="F184" s="304"/>
      <c r="G184" s="305"/>
      <c r="H184" s="280">
        <f>SUM(G185:G188)</f>
        <v>64852.800000000003</v>
      </c>
      <c r="J184" s="116"/>
    </row>
    <row r="185" spans="1:10" s="232" customFormat="1" ht="15.75" customHeight="1">
      <c r="A185" s="290" t="s">
        <v>9</v>
      </c>
      <c r="B185" s="281" t="s">
        <v>192</v>
      </c>
      <c r="C185" s="155" t="s">
        <v>188</v>
      </c>
      <c r="D185" s="154" t="s">
        <v>97</v>
      </c>
      <c r="E185" s="156">
        <v>6</v>
      </c>
      <c r="F185" s="156">
        <v>3974.08</v>
      </c>
      <c r="G185" s="157">
        <f>F185*E185</f>
        <v>23844.48</v>
      </c>
      <c r="H185" s="324"/>
      <c r="J185" s="116"/>
    </row>
    <row r="186" spans="1:10" s="232" customFormat="1" ht="15.75" customHeight="1">
      <c r="A186" s="290" t="s">
        <v>80</v>
      </c>
      <c r="B186" s="281" t="s">
        <v>193</v>
      </c>
      <c r="C186" s="155" t="s">
        <v>189</v>
      </c>
      <c r="D186" s="154" t="s">
        <v>97</v>
      </c>
      <c r="E186" s="156">
        <v>6</v>
      </c>
      <c r="F186" s="156">
        <v>2747.36</v>
      </c>
      <c r="G186" s="157">
        <f>F186*E186</f>
        <v>16484.16</v>
      </c>
      <c r="H186" s="325"/>
      <c r="J186" s="116"/>
    </row>
    <row r="187" spans="1:10" s="232" customFormat="1" ht="15.75" customHeight="1">
      <c r="A187" s="290" t="s">
        <v>81</v>
      </c>
      <c r="B187" s="281" t="s">
        <v>194</v>
      </c>
      <c r="C187" s="155" t="s">
        <v>190</v>
      </c>
      <c r="D187" s="154" t="s">
        <v>97</v>
      </c>
      <c r="E187" s="156">
        <v>6</v>
      </c>
      <c r="F187" s="156">
        <v>1561.12</v>
      </c>
      <c r="G187" s="157">
        <f>F187*E187</f>
        <v>9366.7199999999993</v>
      </c>
      <c r="H187" s="325"/>
      <c r="J187" s="116"/>
    </row>
    <row r="188" spans="1:10" s="115" customFormat="1" ht="15.75" customHeight="1">
      <c r="A188" s="290" t="s">
        <v>270</v>
      </c>
      <c r="B188" s="281" t="s">
        <v>196</v>
      </c>
      <c r="C188" s="155" t="s">
        <v>191</v>
      </c>
      <c r="D188" s="154" t="s">
        <v>97</v>
      </c>
      <c r="E188" s="156">
        <v>6</v>
      </c>
      <c r="F188" s="156">
        <v>2526.2399999999998</v>
      </c>
      <c r="G188" s="157">
        <f>F188*E188</f>
        <v>15157.439999999999</v>
      </c>
      <c r="H188" s="326"/>
      <c r="J188" s="116"/>
    </row>
    <row r="189" spans="1:10" s="115" customFormat="1" ht="15.75" customHeight="1">
      <c r="A189" s="306"/>
      <c r="B189" s="307"/>
      <c r="C189" s="307"/>
      <c r="D189" s="307"/>
      <c r="E189" s="307"/>
      <c r="F189" s="307"/>
      <c r="G189" s="307"/>
      <c r="H189" s="308"/>
      <c r="J189" s="116"/>
    </row>
    <row r="190" spans="1:10" s="115" customFormat="1" ht="15.75" customHeight="1">
      <c r="A190" s="309"/>
      <c r="B190" s="310"/>
      <c r="C190" s="310"/>
      <c r="D190" s="310"/>
      <c r="E190" s="310"/>
      <c r="F190" s="310"/>
      <c r="G190" s="171" t="s">
        <v>38</v>
      </c>
      <c r="H190" s="282">
        <f>SUM(H7:H188)</f>
        <v>721146.39844000002</v>
      </c>
      <c r="J190" s="116"/>
    </row>
    <row r="191" spans="1:10" s="115" customFormat="1" ht="15.75" customHeight="1" thickBot="1">
      <c r="A191" s="311"/>
      <c r="B191" s="312"/>
      <c r="C191" s="312"/>
      <c r="D191" s="312"/>
      <c r="E191" s="312"/>
      <c r="F191" s="312"/>
      <c r="G191" s="171" t="s">
        <v>39</v>
      </c>
      <c r="H191" s="286">
        <f>H190*0.25</f>
        <v>180286.59961</v>
      </c>
      <c r="J191" s="116"/>
    </row>
    <row r="192" spans="1:10" s="115" customFormat="1" ht="32.25" thickBot="1">
      <c r="A192" s="313"/>
      <c r="B192" s="314"/>
      <c r="C192" s="314"/>
      <c r="D192" s="314"/>
      <c r="E192" s="314"/>
      <c r="F192" s="314"/>
      <c r="G192" s="302" t="s">
        <v>46</v>
      </c>
      <c r="H192" s="287">
        <f>SUM(H190:H191)</f>
        <v>901432.99805000005</v>
      </c>
      <c r="J192" s="116"/>
    </row>
    <row r="193" spans="2:10" s="115" customFormat="1" ht="22.5" customHeight="1">
      <c r="B193" s="7"/>
      <c r="C193" s="13"/>
      <c r="J193" s="116"/>
    </row>
    <row r="194" spans="2:10" s="115" customFormat="1" ht="23.25">
      <c r="B194" s="236" t="s">
        <v>493</v>
      </c>
      <c r="C194" s="13"/>
      <c r="D194" s="172"/>
      <c r="E194" s="172"/>
      <c r="F194" s="172"/>
      <c r="G194" s="172"/>
      <c r="H194" s="234"/>
      <c r="J194" s="116"/>
    </row>
    <row r="195" spans="2:10" s="115" customFormat="1" ht="15.75">
      <c r="C195" s="13"/>
      <c r="H195" s="206"/>
      <c r="J195" s="116"/>
    </row>
    <row r="196" spans="2:10" s="115" customFormat="1" ht="15.75">
      <c r="C196" s="13"/>
      <c r="J196" s="116"/>
    </row>
    <row r="197" spans="2:10" s="115" customFormat="1" ht="15.75">
      <c r="C197" s="13"/>
      <c r="J197" s="116"/>
    </row>
    <row r="198" spans="2:10" s="115" customFormat="1" ht="21.75" customHeight="1">
      <c r="C198" s="13"/>
      <c r="J198" s="116"/>
    </row>
  </sheetData>
  <sheetProtection autoFilter="0"/>
  <mergeCells count="41">
    <mergeCell ref="H8:H14"/>
    <mergeCell ref="A15:H15"/>
    <mergeCell ref="A22:H22"/>
    <mergeCell ref="A25:H25"/>
    <mergeCell ref="H54:H85"/>
    <mergeCell ref="H32:H46"/>
    <mergeCell ref="H27:H29"/>
    <mergeCell ref="H17:H21"/>
    <mergeCell ref="A30:H30"/>
    <mergeCell ref="A47:H47"/>
    <mergeCell ref="B48:G48"/>
    <mergeCell ref="B53:G53"/>
    <mergeCell ref="A52:H52"/>
    <mergeCell ref="A86:H86"/>
    <mergeCell ref="A119:H119"/>
    <mergeCell ref="A130:H130"/>
    <mergeCell ref="A139:H139"/>
    <mergeCell ref="A154:H154"/>
    <mergeCell ref="B131:G131"/>
    <mergeCell ref="B140:G140"/>
    <mergeCell ref="B87:G87"/>
    <mergeCell ref="A189:H189"/>
    <mergeCell ref="A190:F192"/>
    <mergeCell ref="H88:H118"/>
    <mergeCell ref="H121:H129"/>
    <mergeCell ref="H132:H138"/>
    <mergeCell ref="H141:H153"/>
    <mergeCell ref="H156:H161"/>
    <mergeCell ref="H164:H182"/>
    <mergeCell ref="B155:G155"/>
    <mergeCell ref="B163:G163"/>
    <mergeCell ref="B184:G184"/>
    <mergeCell ref="H185:H188"/>
    <mergeCell ref="B120:G120"/>
    <mergeCell ref="A162:H162"/>
    <mergeCell ref="A183:H183"/>
    <mergeCell ref="B7:G7"/>
    <mergeCell ref="B16:G16"/>
    <mergeCell ref="B23:G23"/>
    <mergeCell ref="B26:G26"/>
    <mergeCell ref="B31:G31"/>
  </mergeCells>
  <phoneticPr fontId="0" type="noConversion"/>
  <pageMargins left="0.31496062992125984" right="0.19685039370078741" top="0.31496062992125984" bottom="0.39370078740157483" header="0.23622047244094491" footer="0.23622047244094491"/>
  <pageSetup paperSize="9" scale="53" orientation="landscape" horizontalDpi="1200" verticalDpi="1200" r:id="rId1"/>
  <headerFooter>
    <oddFooter>&amp;R&amp;"-,Regular"&amp;8Página&amp;"-,Negrito"&amp;10 &amp;P&amp;"-,Regular"&amp;8 de &amp;N</oddFooter>
  </headerFooter>
  <rowBreaks count="4" manualBreakCount="4">
    <brk id="39" max="7" man="1"/>
    <brk id="78" max="7" man="1"/>
    <brk id="119" max="7" man="1"/>
    <brk id="15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60"/>
  <sheetViews>
    <sheetView view="pageBreakPreview" zoomScale="40" zoomScaleNormal="55" zoomScaleSheetLayoutView="40" workbookViewId="0">
      <pane ySplit="7" topLeftCell="A8" activePane="bottomLeft" state="frozen"/>
      <selection pane="bottomLeft" activeCell="F47" sqref="F47"/>
    </sheetView>
  </sheetViews>
  <sheetFormatPr defaultRowHeight="15"/>
  <cols>
    <col min="1" max="1" width="6.625" style="53" customWidth="1"/>
    <col min="2" max="2" width="38" style="77" customWidth="1"/>
    <col min="3" max="3" width="13.375" style="78" customWidth="1"/>
    <col min="4" max="4" width="12" style="53" customWidth="1"/>
    <col min="5" max="5" width="7.875" style="53" customWidth="1"/>
    <col min="6" max="6" width="14.25" style="79" customWidth="1"/>
    <col min="7" max="7" width="7.125" style="78" customWidth="1"/>
    <col min="8" max="8" width="11.75" style="53" customWidth="1"/>
    <col min="9" max="9" width="8.625" style="78" customWidth="1"/>
    <col min="10" max="10" width="11.125" style="53" customWidth="1"/>
    <col min="11" max="11" width="8" style="78" customWidth="1"/>
    <col min="12" max="12" width="12" style="53" customWidth="1"/>
    <col min="13" max="13" width="7.75" style="78" customWidth="1"/>
    <col min="14" max="14" width="11.625" style="53" customWidth="1"/>
    <col min="15" max="15" width="7.75" style="78" customWidth="1"/>
    <col min="16" max="16" width="11.75" style="53" customWidth="1"/>
    <col min="17" max="17" width="3.125" style="53" customWidth="1"/>
    <col min="18" max="18" width="11.625" style="110" customWidth="1"/>
    <col min="19" max="16384" width="9" style="53"/>
  </cols>
  <sheetData>
    <row r="1" spans="1:18" s="24" customFormat="1" ht="20.100000000000001" customHeight="1">
      <c r="A1" s="17" t="s">
        <v>43</v>
      </c>
      <c r="B1" s="19"/>
      <c r="C1" s="18"/>
      <c r="D1" s="19"/>
      <c r="E1" s="20"/>
      <c r="F1" s="21"/>
      <c r="G1" s="20"/>
      <c r="H1" s="22"/>
      <c r="I1" s="23"/>
      <c r="J1" s="21"/>
      <c r="K1" s="21"/>
      <c r="L1" s="22"/>
      <c r="N1" s="19"/>
      <c r="R1" s="103"/>
    </row>
    <row r="2" spans="1:18" s="24" customFormat="1" ht="20.100000000000001" customHeight="1">
      <c r="A2" s="17" t="s">
        <v>41</v>
      </c>
      <c r="B2" s="19"/>
      <c r="C2" s="18"/>
      <c r="D2" s="19"/>
      <c r="E2" s="20"/>
      <c r="F2" s="21"/>
      <c r="G2" s="20"/>
      <c r="H2" s="22"/>
      <c r="I2" s="23"/>
      <c r="J2" s="21"/>
      <c r="K2" s="21"/>
      <c r="L2" s="22"/>
      <c r="N2" s="19"/>
      <c r="R2" s="103"/>
    </row>
    <row r="3" spans="1:18" s="24" customFormat="1" ht="20.100000000000001" customHeight="1">
      <c r="A3" s="17" t="s">
        <v>42</v>
      </c>
      <c r="B3" s="19"/>
      <c r="C3" s="18"/>
      <c r="D3" s="19"/>
      <c r="E3" s="20"/>
      <c r="F3" s="21"/>
      <c r="G3" s="20"/>
      <c r="H3" s="22"/>
      <c r="I3" s="23"/>
      <c r="J3" s="21"/>
      <c r="K3" s="21"/>
      <c r="L3" s="22"/>
      <c r="N3" s="19"/>
      <c r="R3" s="103"/>
    </row>
    <row r="4" spans="1:18" s="24" customFormat="1" ht="20.100000000000001" customHeight="1">
      <c r="A4" s="17"/>
      <c r="B4" s="19"/>
      <c r="C4" s="18"/>
      <c r="D4" s="19"/>
      <c r="E4" s="20"/>
      <c r="F4" s="21"/>
      <c r="G4" s="20"/>
      <c r="H4" s="22"/>
      <c r="I4" s="23"/>
      <c r="J4" s="21"/>
      <c r="K4" s="21"/>
      <c r="L4" s="22"/>
      <c r="N4" s="19"/>
      <c r="R4" s="103"/>
    </row>
    <row r="5" spans="1:18" s="16" customFormat="1" ht="19.5" thickBot="1">
      <c r="A5" s="25" t="str">
        <f>'Orçamento UFAL'!A5</f>
        <v>ORÇAMENTO BÁSICO ESTIMATIVO PARA CONCLUSÃO DA ESENFAR - CAMPUS MACEIÓ/UFAL</v>
      </c>
      <c r="B5" s="26"/>
      <c r="C5" s="25"/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R5" s="104"/>
    </row>
    <row r="6" spans="1:18" s="29" customFormat="1" ht="30" customHeight="1">
      <c r="A6" s="350" t="s">
        <v>49</v>
      </c>
      <c r="B6" s="344"/>
      <c r="C6" s="344"/>
      <c r="D6" s="351"/>
      <c r="E6" s="344" t="s">
        <v>17</v>
      </c>
      <c r="F6" s="344"/>
      <c r="G6" s="342" t="s">
        <v>18</v>
      </c>
      <c r="H6" s="343"/>
      <c r="I6" s="344" t="s">
        <v>19</v>
      </c>
      <c r="J6" s="344"/>
      <c r="K6" s="342" t="s">
        <v>20</v>
      </c>
      <c r="L6" s="343"/>
      <c r="M6" s="344" t="s">
        <v>21</v>
      </c>
      <c r="N6" s="344"/>
      <c r="O6" s="342" t="s">
        <v>22</v>
      </c>
      <c r="P6" s="343"/>
      <c r="R6" s="105"/>
    </row>
    <row r="7" spans="1:18" s="29" customFormat="1" ht="20.100000000000001" customHeight="1" thickBot="1">
      <c r="A7" s="30" t="s">
        <v>10</v>
      </c>
      <c r="B7" s="31" t="s">
        <v>11</v>
      </c>
      <c r="C7" s="32" t="s">
        <v>12</v>
      </c>
      <c r="D7" s="33" t="s">
        <v>13</v>
      </c>
      <c r="E7" s="34" t="s">
        <v>14</v>
      </c>
      <c r="F7" s="35" t="s">
        <v>15</v>
      </c>
      <c r="G7" s="32" t="s">
        <v>14</v>
      </c>
      <c r="H7" s="36" t="s">
        <v>15</v>
      </c>
      <c r="I7" s="34" t="s">
        <v>14</v>
      </c>
      <c r="J7" s="37" t="s">
        <v>15</v>
      </c>
      <c r="K7" s="32" t="s">
        <v>14</v>
      </c>
      <c r="L7" s="36" t="s">
        <v>15</v>
      </c>
      <c r="M7" s="34" t="s">
        <v>14</v>
      </c>
      <c r="N7" s="37" t="s">
        <v>15</v>
      </c>
      <c r="O7" s="32" t="s">
        <v>14</v>
      </c>
      <c r="P7" s="36" t="s">
        <v>15</v>
      </c>
      <c r="R7" s="106" t="s">
        <v>14</v>
      </c>
    </row>
    <row r="8" spans="1:18" s="45" customFormat="1" ht="9.9499999999999993" customHeight="1">
      <c r="A8" s="38"/>
      <c r="B8" s="39"/>
      <c r="C8" s="40"/>
      <c r="D8" s="41"/>
      <c r="E8" s="83"/>
      <c r="F8" s="42"/>
      <c r="G8" s="43"/>
      <c r="H8" s="44"/>
      <c r="I8" s="43"/>
      <c r="J8" s="44"/>
      <c r="K8" s="43"/>
      <c r="L8" s="44"/>
      <c r="M8" s="43"/>
      <c r="N8" s="44"/>
      <c r="O8" s="43"/>
      <c r="P8" s="132"/>
      <c r="R8" s="107"/>
    </row>
    <row r="9" spans="1:18" s="50" customFormat="1" ht="9.9499999999999993" customHeight="1">
      <c r="A9" s="333" t="str">
        <f>'Orçamento UFAL'!A7</f>
        <v>1.</v>
      </c>
      <c r="B9" s="333" t="str">
        <f>'Orçamento UFAL'!B7</f>
        <v>PROJETOS COMPLEMENTARES (CUB/m²)</v>
      </c>
      <c r="C9" s="334">
        <f>D9/$D$51</f>
        <v>1.755695795942246E-2</v>
      </c>
      <c r="D9" s="340">
        <f>'Orçamento UFAL'!H7</f>
        <v>12661.136999999999</v>
      </c>
      <c r="E9" s="123"/>
      <c r="F9" s="123"/>
      <c r="G9" s="134"/>
      <c r="H9" s="134"/>
      <c r="I9" s="46"/>
      <c r="J9" s="47"/>
      <c r="K9" s="48"/>
      <c r="L9" s="48"/>
      <c r="M9" s="46"/>
      <c r="N9" s="47"/>
      <c r="O9" s="123"/>
      <c r="P9" s="123"/>
      <c r="R9" s="82"/>
    </row>
    <row r="10" spans="1:18" ht="20.100000000000001" customHeight="1">
      <c r="A10" s="333"/>
      <c r="B10" s="333"/>
      <c r="C10" s="334"/>
      <c r="D10" s="340"/>
      <c r="E10" s="80">
        <v>0.8</v>
      </c>
      <c r="F10" s="51">
        <f>$D9*E10</f>
        <v>10128.909599999999</v>
      </c>
      <c r="G10" s="81"/>
      <c r="H10" s="51"/>
      <c r="I10" s="81"/>
      <c r="J10" s="51">
        <f>$D9*I10</f>
        <v>0</v>
      </c>
      <c r="K10" s="81"/>
      <c r="L10" s="51">
        <f>$D9*K10</f>
        <v>0</v>
      </c>
      <c r="M10" s="81"/>
      <c r="N10" s="51">
        <f>$D9*M10</f>
        <v>0</v>
      </c>
      <c r="O10" s="81">
        <v>0.2</v>
      </c>
      <c r="P10" s="52">
        <f>$D9*O10</f>
        <v>2532.2273999999998</v>
      </c>
      <c r="R10" s="108">
        <f>SUM(O10,M10,K10,I10,G10,E10)</f>
        <v>1</v>
      </c>
    </row>
    <row r="11" spans="1:18" s="45" customFormat="1" ht="9.9499999999999993" customHeight="1">
      <c r="A11" s="54"/>
      <c r="B11" s="55"/>
      <c r="C11" s="56"/>
      <c r="D11" s="138"/>
      <c r="E11" s="84"/>
      <c r="F11" s="58"/>
      <c r="G11" s="57"/>
      <c r="H11" s="59"/>
      <c r="I11" s="57"/>
      <c r="J11" s="59"/>
      <c r="K11" s="57"/>
      <c r="L11" s="59"/>
      <c r="M11" s="57"/>
      <c r="N11" s="59"/>
      <c r="O11" s="57"/>
      <c r="P11" s="60"/>
      <c r="R11" s="109"/>
    </row>
    <row r="12" spans="1:18" ht="9.9499999999999993" customHeight="1">
      <c r="A12" s="333" t="str">
        <f>'Orçamento UFAL'!A16</f>
        <v>2.</v>
      </c>
      <c r="B12" s="333" t="str">
        <f>'Orçamento UFAL'!B16</f>
        <v>SERVIÇOS PRELIMINARES</v>
      </c>
      <c r="C12" s="334">
        <f>D12/$D$51</f>
        <v>1.8200248976341538E-2</v>
      </c>
      <c r="D12" s="341">
        <f>'Orçamento UFAL'!H16</f>
        <v>13125.043999999998</v>
      </c>
      <c r="E12" s="123"/>
      <c r="F12" s="123"/>
      <c r="G12" s="121"/>
      <c r="H12" s="122"/>
      <c r="I12" s="123"/>
      <c r="J12" s="123"/>
      <c r="K12" s="121"/>
      <c r="L12" s="122"/>
      <c r="M12" s="123"/>
      <c r="N12" s="123"/>
      <c r="O12" s="121"/>
      <c r="P12" s="122"/>
      <c r="R12" s="82"/>
    </row>
    <row r="13" spans="1:18" ht="20.100000000000001" customHeight="1">
      <c r="A13" s="333"/>
      <c r="B13" s="333"/>
      <c r="C13" s="334"/>
      <c r="D13" s="341"/>
      <c r="E13" s="80">
        <v>0.05</v>
      </c>
      <c r="F13" s="51">
        <f>$D12*E13</f>
        <v>656.2521999999999</v>
      </c>
      <c r="G13" s="81">
        <v>0.6</v>
      </c>
      <c r="H13" s="51">
        <f>$D12*G13</f>
        <v>7875.0263999999988</v>
      </c>
      <c r="I13" s="119">
        <v>0.215</v>
      </c>
      <c r="J13" s="51">
        <f>$D12*I13</f>
        <v>2821.8844599999998</v>
      </c>
      <c r="K13" s="119">
        <v>4.4999999999999998E-2</v>
      </c>
      <c r="L13" s="51">
        <f>$D12*K13</f>
        <v>590.62697999999989</v>
      </c>
      <c r="M13" s="119">
        <v>4.4999999999999998E-2</v>
      </c>
      <c r="N13" s="51">
        <f>$D12*M13</f>
        <v>590.62697999999989</v>
      </c>
      <c r="O13" s="119">
        <v>4.4999999999999998E-2</v>
      </c>
      <c r="P13" s="52">
        <f>$D12*O13</f>
        <v>590.62697999999989</v>
      </c>
      <c r="R13" s="108">
        <f>SUM(O13,M13,K13,I13,G13,E13)</f>
        <v>1</v>
      </c>
    </row>
    <row r="14" spans="1:18" s="45" customFormat="1" ht="9.9499999999999993" customHeight="1">
      <c r="A14" s="61"/>
      <c r="B14" s="62"/>
      <c r="C14" s="63"/>
      <c r="D14" s="139"/>
      <c r="E14" s="84"/>
      <c r="F14" s="58"/>
      <c r="G14" s="57"/>
      <c r="H14" s="59"/>
      <c r="I14" s="57"/>
      <c r="J14" s="59"/>
      <c r="K14" s="57"/>
      <c r="L14" s="59"/>
      <c r="M14" s="57"/>
      <c r="N14" s="59"/>
      <c r="O14" s="57"/>
      <c r="P14" s="60"/>
      <c r="R14" s="109"/>
    </row>
    <row r="15" spans="1:18" ht="9.9499999999999993" customHeight="1">
      <c r="A15" s="333" t="str">
        <f>'Orçamento UFAL'!A23</f>
        <v>3.</v>
      </c>
      <c r="B15" s="333" t="str">
        <f>'Orçamento UFAL'!B23</f>
        <v>MOVIMENTO DE TERRA</v>
      </c>
      <c r="C15" s="334">
        <f>D15/$D$51</f>
        <v>6.4231063346084031E-4</v>
      </c>
      <c r="D15" s="340">
        <f>'Orçamento UFAL'!H23</f>
        <v>463.2</v>
      </c>
      <c r="E15" s="46"/>
      <c r="F15" s="47"/>
      <c r="G15" s="123"/>
      <c r="H15" s="123"/>
      <c r="I15" s="121"/>
      <c r="J15" s="122"/>
      <c r="K15" s="81"/>
      <c r="L15" s="51"/>
      <c r="M15" s="81"/>
      <c r="N15" s="51"/>
      <c r="O15" s="48"/>
      <c r="P15" s="49"/>
      <c r="R15" s="82"/>
    </row>
    <row r="16" spans="1:18" ht="20.100000000000001" customHeight="1">
      <c r="A16" s="333"/>
      <c r="B16" s="333"/>
      <c r="C16" s="334"/>
      <c r="D16" s="340"/>
      <c r="E16" s="80"/>
      <c r="F16" s="51"/>
      <c r="G16" s="81">
        <v>0.5</v>
      </c>
      <c r="H16" s="51">
        <f>$D15*G16</f>
        <v>231.6</v>
      </c>
      <c r="I16" s="81">
        <v>0.5</v>
      </c>
      <c r="J16" s="135">
        <f>$D15*I16</f>
        <v>231.6</v>
      </c>
      <c r="O16" s="81"/>
      <c r="P16" s="52">
        <f>$D15*O16</f>
        <v>0</v>
      </c>
      <c r="R16" s="108">
        <f>SUM(O16,M16,K16,I16,G16,E16)</f>
        <v>1</v>
      </c>
    </row>
    <row r="17" spans="1:18" s="45" customFormat="1" ht="9.9499999999999993" customHeight="1">
      <c r="A17" s="54"/>
      <c r="B17" s="55"/>
      <c r="C17" s="56"/>
      <c r="D17" s="138"/>
      <c r="E17" s="84"/>
      <c r="F17" s="58"/>
      <c r="G17" s="57"/>
      <c r="H17" s="59"/>
      <c r="I17" s="57"/>
      <c r="J17" s="59"/>
      <c r="K17" s="57"/>
      <c r="L17" s="59"/>
      <c r="M17" s="57"/>
      <c r="N17" s="59"/>
      <c r="O17" s="57"/>
      <c r="P17" s="60"/>
      <c r="R17" s="109"/>
    </row>
    <row r="18" spans="1:18" ht="9.9499999999999993" customHeight="1">
      <c r="A18" s="333" t="str">
        <f>'Orçamento UFAL'!A26</f>
        <v>4.</v>
      </c>
      <c r="B18" s="333" t="str">
        <f>'Orçamento UFAL'!B26</f>
        <v>ALVENARIA/VEDAÇÃO/DIVISÓRIA</v>
      </c>
      <c r="C18" s="334">
        <f>D18/$D$51</f>
        <v>2.5993196444646174E-2</v>
      </c>
      <c r="D18" s="340">
        <f>'Orçamento UFAL'!H26</f>
        <v>18744.900000000001</v>
      </c>
      <c r="E18" s="46"/>
      <c r="F18" s="47"/>
      <c r="G18" s="48"/>
      <c r="H18" s="48"/>
      <c r="I18" s="121"/>
      <c r="J18" s="122"/>
      <c r="K18" s="123"/>
      <c r="L18" s="123"/>
      <c r="M18" s="121"/>
      <c r="N18" s="122"/>
      <c r="O18" s="134"/>
      <c r="P18" s="136"/>
      <c r="R18" s="82"/>
    </row>
    <row r="19" spans="1:18" ht="20.100000000000001" customHeight="1">
      <c r="A19" s="333"/>
      <c r="B19" s="333"/>
      <c r="C19" s="334"/>
      <c r="D19" s="340"/>
      <c r="E19" s="80"/>
      <c r="F19" s="51"/>
      <c r="G19" s="81"/>
      <c r="H19" s="51"/>
      <c r="I19" s="81">
        <v>0.2</v>
      </c>
      <c r="J19" s="51">
        <f>$D18*I19</f>
        <v>3748.9800000000005</v>
      </c>
      <c r="K19" s="81">
        <v>0.6</v>
      </c>
      <c r="L19" s="51">
        <f>$D18*K19</f>
        <v>11246.94</v>
      </c>
      <c r="M19" s="81">
        <v>0.2</v>
      </c>
      <c r="N19" s="51">
        <f>$D18*M19</f>
        <v>3748.9800000000005</v>
      </c>
      <c r="O19" s="81"/>
      <c r="P19" s="52"/>
      <c r="R19" s="108">
        <f>SUM(O19,M19,K19,I19,G19,E19)</f>
        <v>1</v>
      </c>
    </row>
    <row r="20" spans="1:18" s="45" customFormat="1" ht="9.9499999999999993" customHeight="1">
      <c r="A20" s="54"/>
      <c r="B20" s="55"/>
      <c r="C20" s="56"/>
      <c r="D20" s="138"/>
      <c r="E20" s="84"/>
      <c r="F20" s="58"/>
      <c r="G20" s="57"/>
      <c r="H20" s="59"/>
      <c r="I20" s="57"/>
      <c r="J20" s="59"/>
      <c r="K20" s="57"/>
      <c r="L20" s="59"/>
      <c r="M20" s="57"/>
      <c r="N20" s="59"/>
      <c r="O20" s="57"/>
      <c r="P20" s="60"/>
      <c r="R20" s="109"/>
    </row>
    <row r="21" spans="1:18" ht="9.9499999999999993" customHeight="1">
      <c r="A21" s="333" t="str">
        <f>'Orçamento UFAL'!A31</f>
        <v>5.</v>
      </c>
      <c r="B21" s="333" t="str">
        <f>'Orçamento UFAL'!B31</f>
        <v>ESQUADRIAS</v>
      </c>
      <c r="C21" s="334">
        <f>D21/$D$51</f>
        <v>0.11425803939150572</v>
      </c>
      <c r="D21" s="340">
        <f>'Orçamento UFAL'!H31</f>
        <v>82396.7736</v>
      </c>
      <c r="E21" s="46"/>
      <c r="F21" s="47"/>
      <c r="G21" s="48"/>
      <c r="H21" s="48"/>
      <c r="I21" s="46"/>
      <c r="J21" s="47"/>
      <c r="K21" s="123"/>
      <c r="L21" s="123"/>
      <c r="M21" s="121"/>
      <c r="N21" s="122"/>
      <c r="O21" s="123"/>
      <c r="P21" s="124"/>
      <c r="R21" s="82"/>
    </row>
    <row r="22" spans="1:18" ht="20.100000000000001" customHeight="1">
      <c r="A22" s="333"/>
      <c r="B22" s="333"/>
      <c r="C22" s="334"/>
      <c r="D22" s="340"/>
      <c r="E22" s="80"/>
      <c r="F22" s="51"/>
      <c r="G22" s="81"/>
      <c r="H22" s="51"/>
      <c r="I22" s="81"/>
      <c r="J22" s="51"/>
      <c r="K22" s="81">
        <v>0.2</v>
      </c>
      <c r="L22" s="51">
        <f>$D21*K22</f>
        <v>16479.354719999999</v>
      </c>
      <c r="M22" s="81">
        <v>0.6</v>
      </c>
      <c r="N22" s="51">
        <f>$D21*M22</f>
        <v>49438.064160000002</v>
      </c>
      <c r="O22" s="81">
        <v>0.2</v>
      </c>
      <c r="P22" s="52">
        <f>$D21*O22</f>
        <v>16479.354719999999</v>
      </c>
      <c r="R22" s="108">
        <f>SUM(O22,M22,K22,I22,G22,E22)</f>
        <v>1</v>
      </c>
    </row>
    <row r="23" spans="1:18" s="45" customFormat="1" ht="9.9499999999999993" customHeight="1">
      <c r="A23" s="54"/>
      <c r="B23" s="55"/>
      <c r="C23" s="56"/>
      <c r="D23" s="138"/>
      <c r="E23" s="84"/>
      <c r="F23" s="58"/>
      <c r="G23" s="57"/>
      <c r="H23" s="59"/>
      <c r="I23" s="57"/>
      <c r="J23" s="59"/>
      <c r="K23" s="57"/>
      <c r="L23" s="59"/>
      <c r="M23" s="57"/>
      <c r="N23" s="59"/>
      <c r="O23" s="57"/>
      <c r="P23" s="60"/>
      <c r="R23" s="109"/>
    </row>
    <row r="24" spans="1:18" ht="9.9499999999999993" customHeight="1">
      <c r="A24" s="333" t="str">
        <f>'Orçamento UFAL'!A48</f>
        <v>6.</v>
      </c>
      <c r="B24" s="333" t="str">
        <f>'Orçamento UFAL'!B48</f>
        <v>COBERTURA</v>
      </c>
      <c r="C24" s="334">
        <f>D24/$D$51</f>
        <v>4.039569713308877E-2</v>
      </c>
      <c r="D24" s="340">
        <f>'Orçamento UFAL'!H48</f>
        <v>29131.211500000001</v>
      </c>
      <c r="E24" s="46"/>
      <c r="F24" s="47"/>
      <c r="G24" s="48"/>
      <c r="H24" s="48"/>
      <c r="I24" s="121"/>
      <c r="J24" s="122"/>
      <c r="K24" s="123"/>
      <c r="L24" s="123"/>
      <c r="M24" s="121"/>
      <c r="N24" s="122"/>
      <c r="O24" s="48"/>
      <c r="P24" s="49"/>
      <c r="R24" s="82"/>
    </row>
    <row r="25" spans="1:18" ht="20.100000000000001" customHeight="1">
      <c r="A25" s="333"/>
      <c r="B25" s="333"/>
      <c r="C25" s="334"/>
      <c r="D25" s="340"/>
      <c r="E25" s="80"/>
      <c r="F25" s="51"/>
      <c r="G25" s="81"/>
      <c r="H25" s="51"/>
      <c r="I25" s="81">
        <v>0.4</v>
      </c>
      <c r="J25" s="51">
        <f>$D24*I25</f>
        <v>11652.484600000002</v>
      </c>
      <c r="K25" s="81">
        <v>0.4</v>
      </c>
      <c r="L25" s="51">
        <f>$D24*K25</f>
        <v>11652.484600000002</v>
      </c>
      <c r="M25" s="81">
        <v>0.2</v>
      </c>
      <c r="N25" s="51">
        <f>$D24*M25</f>
        <v>5826.2423000000008</v>
      </c>
      <c r="O25" s="81"/>
      <c r="P25" s="52">
        <f>$D24*O25</f>
        <v>0</v>
      </c>
      <c r="R25" s="108">
        <f>SUM(O25,M25,K25,I25,G25,E25)</f>
        <v>1</v>
      </c>
    </row>
    <row r="26" spans="1:18" s="45" customFormat="1" ht="9.9499999999999993" customHeight="1">
      <c r="A26" s="54"/>
      <c r="B26" s="55"/>
      <c r="C26" s="56"/>
      <c r="D26" s="138"/>
      <c r="E26" s="84"/>
      <c r="F26" s="58"/>
      <c r="G26" s="57"/>
      <c r="H26" s="59"/>
      <c r="I26" s="57"/>
      <c r="J26" s="59"/>
      <c r="K26" s="57"/>
      <c r="L26" s="59"/>
      <c r="M26" s="57"/>
      <c r="N26" s="59"/>
      <c r="O26" s="57"/>
      <c r="P26" s="60"/>
      <c r="R26" s="109"/>
    </row>
    <row r="27" spans="1:18" ht="9.9499999999999993" customHeight="1">
      <c r="A27" s="333" t="str">
        <f>'Orçamento UFAL'!A53</f>
        <v>7.</v>
      </c>
      <c r="B27" s="333" t="str">
        <f>'Orçamento UFAL'!B53</f>
        <v xml:space="preserve">INSTALAÇÕES ELÉTRICAS  E SPDA        </v>
      </c>
      <c r="C27" s="334">
        <f>D27/$D$51</f>
        <v>0.15761943101412737</v>
      </c>
      <c r="D27" s="340">
        <f>'Orçamento UFAL'!H53</f>
        <v>113666.68499999998</v>
      </c>
      <c r="E27" s="46"/>
      <c r="F27" s="47"/>
      <c r="G27" s="48"/>
      <c r="H27" s="48"/>
      <c r="I27" s="121"/>
      <c r="J27" s="122"/>
      <c r="K27" s="123"/>
      <c r="L27" s="123"/>
      <c r="M27" s="121"/>
      <c r="N27" s="122"/>
      <c r="O27" s="123"/>
      <c r="P27" s="124"/>
      <c r="R27" s="82"/>
    </row>
    <row r="28" spans="1:18" ht="20.100000000000001" customHeight="1">
      <c r="A28" s="333"/>
      <c r="B28" s="333"/>
      <c r="C28" s="334"/>
      <c r="D28" s="340"/>
      <c r="E28" s="80"/>
      <c r="F28" s="51"/>
      <c r="G28" s="81"/>
      <c r="H28" s="51"/>
      <c r="I28" s="81">
        <v>0.1</v>
      </c>
      <c r="J28" s="51">
        <f>$D27*I28</f>
        <v>11366.6685</v>
      </c>
      <c r="K28" s="81">
        <v>0.2</v>
      </c>
      <c r="L28" s="51">
        <f>$D27*K28</f>
        <v>22733.337</v>
      </c>
      <c r="M28" s="81">
        <v>0.4</v>
      </c>
      <c r="N28" s="51">
        <f>$D27*M28</f>
        <v>45466.673999999999</v>
      </c>
      <c r="O28" s="81">
        <v>0.3</v>
      </c>
      <c r="P28" s="52">
        <f>$D27*O28</f>
        <v>34100.005499999992</v>
      </c>
      <c r="R28" s="108">
        <f>SUM(O28,M28,K28,I28,G28,E28)</f>
        <v>0.99999999999999989</v>
      </c>
    </row>
    <row r="29" spans="1:18" s="45" customFormat="1" ht="9.9499999999999993" customHeight="1">
      <c r="A29" s="54"/>
      <c r="B29" s="55"/>
      <c r="C29" s="56"/>
      <c r="D29" s="138"/>
      <c r="E29" s="84"/>
      <c r="F29" s="58"/>
      <c r="G29" s="57"/>
      <c r="H29" s="59"/>
      <c r="I29" s="57"/>
      <c r="J29" s="59"/>
      <c r="K29" s="57"/>
      <c r="L29" s="59"/>
      <c r="M29" s="57"/>
      <c r="N29" s="59"/>
      <c r="O29" s="57"/>
      <c r="P29" s="60"/>
      <c r="R29" s="109"/>
    </row>
    <row r="30" spans="1:18" ht="9.9499999999999993" customHeight="1">
      <c r="A30" s="333" t="str">
        <f>'Orçamento UFAL'!A87</f>
        <v>8.</v>
      </c>
      <c r="B30" s="333" t="str">
        <f>'Orçamento UFAL'!B87</f>
        <v>INSTALAÇÕES HIDRO-SANITÁRIAS</v>
      </c>
      <c r="C30" s="334">
        <f>D30/$D$51</f>
        <v>8.9131616186457166E-2</v>
      </c>
      <c r="D30" s="340">
        <f>'Orçamento UFAL'!H87</f>
        <v>64276.943999999996</v>
      </c>
      <c r="E30" s="46"/>
      <c r="F30" s="47"/>
      <c r="G30" s="48"/>
      <c r="H30" s="48"/>
      <c r="I30" s="121"/>
      <c r="J30" s="122"/>
      <c r="K30" s="123"/>
      <c r="L30" s="123"/>
      <c r="M30" s="121"/>
      <c r="N30" s="122"/>
      <c r="O30" s="123"/>
      <c r="P30" s="124"/>
      <c r="R30" s="82"/>
    </row>
    <row r="31" spans="1:18" ht="20.100000000000001" customHeight="1">
      <c r="A31" s="333"/>
      <c r="B31" s="333"/>
      <c r="C31" s="334"/>
      <c r="D31" s="340"/>
      <c r="E31" s="80"/>
      <c r="F31" s="51"/>
      <c r="G31" s="81"/>
      <c r="H31" s="51"/>
      <c r="I31" s="81">
        <v>0.2</v>
      </c>
      <c r="J31" s="51">
        <f>$D30*I31</f>
        <v>12855.388800000001</v>
      </c>
      <c r="K31" s="81">
        <v>0.2</v>
      </c>
      <c r="L31" s="51">
        <f>$D30*K31</f>
        <v>12855.388800000001</v>
      </c>
      <c r="M31" s="81">
        <v>0.4</v>
      </c>
      <c r="N31" s="51">
        <f>$D30*M31</f>
        <v>25710.777600000001</v>
      </c>
      <c r="O31" s="81">
        <v>0.2</v>
      </c>
      <c r="P31" s="52">
        <f>$D30*O31</f>
        <v>12855.388800000001</v>
      </c>
      <c r="R31" s="108">
        <f>SUM(O31,M31,K31,I31,G31,E31)</f>
        <v>1</v>
      </c>
    </row>
    <row r="32" spans="1:18" s="45" customFormat="1" ht="9.9499999999999993" customHeight="1">
      <c r="A32" s="54"/>
      <c r="B32" s="55"/>
      <c r="C32" s="56"/>
      <c r="D32" s="138"/>
      <c r="E32" s="84"/>
      <c r="F32" s="58"/>
      <c r="G32" s="57"/>
      <c r="H32" s="59"/>
      <c r="I32" s="57"/>
      <c r="J32" s="59"/>
      <c r="K32" s="57"/>
      <c r="L32" s="59"/>
      <c r="M32" s="57"/>
      <c r="N32" s="59"/>
      <c r="O32" s="57"/>
      <c r="P32" s="60"/>
      <c r="R32" s="109"/>
    </row>
    <row r="33" spans="1:18" ht="9.9499999999999993" customHeight="1">
      <c r="A33" s="333" t="str">
        <f>'Orçamento UFAL'!A120</f>
        <v>9.</v>
      </c>
      <c r="B33" s="333" t="str">
        <f>'Orçamento UFAL'!B120</f>
        <v>INSTALAÇÕES ESPECIAIS</v>
      </c>
      <c r="C33" s="334">
        <f>D33/$D$51</f>
        <v>1.9583954146551889E-2</v>
      </c>
      <c r="D33" s="340">
        <f>'Orçamento UFAL'!H120</f>
        <v>14122.897999999999</v>
      </c>
      <c r="E33" s="46"/>
      <c r="F33" s="47"/>
      <c r="G33" s="48"/>
      <c r="H33" s="48"/>
      <c r="I33" s="121"/>
      <c r="J33" s="122"/>
      <c r="K33" s="123"/>
      <c r="L33" s="123"/>
      <c r="M33" s="121"/>
      <c r="N33" s="122"/>
      <c r="O33" s="48"/>
      <c r="P33" s="49"/>
      <c r="R33" s="82"/>
    </row>
    <row r="34" spans="1:18" ht="20.100000000000001" customHeight="1">
      <c r="A34" s="333"/>
      <c r="B34" s="333"/>
      <c r="C34" s="334"/>
      <c r="D34" s="340"/>
      <c r="E34" s="80"/>
      <c r="F34" s="51"/>
      <c r="G34" s="81"/>
      <c r="H34" s="51"/>
      <c r="I34" s="81">
        <v>0.1</v>
      </c>
      <c r="J34" s="51">
        <f>$D33*I34</f>
        <v>1412.2898</v>
      </c>
      <c r="K34" s="81">
        <v>0.5</v>
      </c>
      <c r="L34" s="51">
        <f>$D33*K34</f>
        <v>7061.4489999999996</v>
      </c>
      <c r="M34" s="81">
        <v>0.4</v>
      </c>
      <c r="N34" s="51">
        <f>$D33*M34</f>
        <v>5649.1592000000001</v>
      </c>
      <c r="O34" s="81"/>
      <c r="P34" s="52">
        <f>$D33*O34</f>
        <v>0</v>
      </c>
      <c r="R34" s="108">
        <f>SUM(O34,M34,K34,I34,G34,E34)</f>
        <v>1</v>
      </c>
    </row>
    <row r="35" spans="1:18" ht="9.9499999999999993" customHeight="1">
      <c r="A35" s="54"/>
      <c r="B35" s="55"/>
      <c r="C35" s="56"/>
      <c r="D35" s="138"/>
      <c r="E35" s="84"/>
      <c r="F35" s="58"/>
      <c r="G35" s="57"/>
      <c r="H35" s="59"/>
      <c r="I35" s="57"/>
      <c r="J35" s="59"/>
      <c r="K35" s="57"/>
      <c r="L35" s="59"/>
      <c r="M35" s="57"/>
      <c r="N35" s="59"/>
      <c r="O35" s="57"/>
      <c r="P35" s="60"/>
      <c r="R35" s="109"/>
    </row>
    <row r="36" spans="1:18" ht="9.9499999999999993" customHeight="1">
      <c r="A36" s="333" t="str">
        <f>'Orçamento UFAL'!A131</f>
        <v>10.</v>
      </c>
      <c r="B36" s="333" t="str">
        <f>'Orçamento UFAL'!B131</f>
        <v>INSTALAÇÃO DE COMBATE E INCÊNDIO  E PÂNICO</v>
      </c>
      <c r="C36" s="334">
        <f>D36/$D$51</f>
        <v>1.8749496675361917E-2</v>
      </c>
      <c r="D36" s="340">
        <f>'Orçamento UFAL'!H131</f>
        <v>13521.132</v>
      </c>
      <c r="E36" s="46"/>
      <c r="F36" s="47"/>
      <c r="G36" s="48"/>
      <c r="H36" s="48"/>
      <c r="I36" s="46"/>
      <c r="J36" s="47"/>
      <c r="K36" s="48"/>
      <c r="L36" s="48"/>
      <c r="M36" s="46"/>
      <c r="N36" s="47"/>
      <c r="O36" s="123"/>
      <c r="P36" s="124"/>
      <c r="R36" s="82"/>
    </row>
    <row r="37" spans="1:18" ht="20.100000000000001" customHeight="1">
      <c r="A37" s="333"/>
      <c r="B37" s="333"/>
      <c r="C37" s="334"/>
      <c r="D37" s="340"/>
      <c r="E37" s="80"/>
      <c r="F37" s="51"/>
      <c r="G37" s="81"/>
      <c r="H37" s="51"/>
      <c r="I37" s="81"/>
      <c r="J37" s="51"/>
      <c r="K37" s="81"/>
      <c r="L37" s="51"/>
      <c r="M37" s="81"/>
      <c r="N37" s="51">
        <f>$D36*M37</f>
        <v>0</v>
      </c>
      <c r="O37" s="81">
        <v>1</v>
      </c>
      <c r="P37" s="52">
        <f>$D36*O37</f>
        <v>13521.132</v>
      </c>
      <c r="R37" s="108">
        <f>SUM(O37,M37,K37,I37,G37,E37)</f>
        <v>1</v>
      </c>
    </row>
    <row r="38" spans="1:18" ht="9.9499999999999993" customHeight="1">
      <c r="A38" s="54"/>
      <c r="B38" s="55"/>
      <c r="C38" s="56"/>
      <c r="D38" s="138"/>
      <c r="E38" s="84"/>
      <c r="F38" s="58"/>
      <c r="G38" s="57"/>
      <c r="H38" s="59"/>
      <c r="I38" s="57"/>
      <c r="J38" s="59"/>
      <c r="K38" s="57"/>
      <c r="L38" s="59"/>
      <c r="M38" s="57"/>
      <c r="N38" s="59"/>
      <c r="O38" s="57"/>
      <c r="P38" s="60"/>
      <c r="R38" s="109"/>
    </row>
    <row r="39" spans="1:18" ht="9.9499999999999993" customHeight="1">
      <c r="A39" s="333" t="str">
        <f>'Orçamento UFAL'!A140</f>
        <v>11.</v>
      </c>
      <c r="B39" s="333" t="str">
        <f>'Orçamento UFAL'!B140</f>
        <v>REVESTIMENTOS</v>
      </c>
      <c r="C39" s="334">
        <f>D39/$D$51</f>
        <v>0.14704410342946841</v>
      </c>
      <c r="D39" s="340">
        <f>'Orçamento UFAL'!H140</f>
        <v>106040.32560000001</v>
      </c>
      <c r="E39" s="46"/>
      <c r="F39" s="47"/>
      <c r="G39" s="48"/>
      <c r="H39" s="48"/>
      <c r="I39" s="46"/>
      <c r="J39" s="47"/>
      <c r="K39" s="137"/>
      <c r="L39" s="123"/>
      <c r="M39" s="121"/>
      <c r="N39" s="122"/>
      <c r="O39" s="123"/>
      <c r="P39" s="124"/>
      <c r="R39" s="82"/>
    </row>
    <row r="40" spans="1:18" ht="20.100000000000001" customHeight="1">
      <c r="A40" s="333"/>
      <c r="B40" s="333"/>
      <c r="C40" s="334"/>
      <c r="D40" s="340"/>
      <c r="E40" s="80"/>
      <c r="F40" s="51"/>
      <c r="G40" s="81"/>
      <c r="H40" s="51"/>
      <c r="I40" s="81"/>
      <c r="J40" s="51"/>
      <c r="K40" s="81">
        <v>0.5</v>
      </c>
      <c r="L40" s="51">
        <f>$D39*K40</f>
        <v>53020.162800000006</v>
      </c>
      <c r="M40" s="81">
        <v>0.3</v>
      </c>
      <c r="N40" s="51">
        <f>$D39*M40</f>
        <v>31812.097680000003</v>
      </c>
      <c r="O40" s="81">
        <v>0.2</v>
      </c>
      <c r="P40" s="52">
        <f>$D39*O40</f>
        <v>21208.065120000003</v>
      </c>
      <c r="R40" s="108">
        <f>SUM(O40,M40,K40,I40,G40,E40)</f>
        <v>1</v>
      </c>
    </row>
    <row r="41" spans="1:18" ht="9.9499999999999993" customHeight="1">
      <c r="A41" s="54"/>
      <c r="B41" s="55"/>
      <c r="C41" s="56"/>
      <c r="D41" s="138"/>
      <c r="E41" s="84"/>
      <c r="F41" s="58"/>
      <c r="G41" s="57"/>
      <c r="H41" s="59"/>
      <c r="I41" s="57"/>
      <c r="J41" s="59"/>
      <c r="K41" s="57"/>
      <c r="L41" s="59"/>
      <c r="M41" s="57"/>
      <c r="N41" s="59"/>
      <c r="O41" s="57"/>
      <c r="P41" s="60"/>
      <c r="Q41" s="45"/>
      <c r="R41" s="109"/>
    </row>
    <row r="42" spans="1:18" ht="9.9499999999999993" customHeight="1">
      <c r="A42" s="333" t="str">
        <f>'Orçamento UFAL'!A155</f>
        <v>12.</v>
      </c>
      <c r="B42" s="333" t="str">
        <f>'Orçamento UFAL'!B155</f>
        <v>PINTURA</v>
      </c>
      <c r="C42" s="334">
        <f>D42/$D$51</f>
        <v>5.0374290266974771E-2</v>
      </c>
      <c r="D42" s="340">
        <f>'Orçamento UFAL'!H155</f>
        <v>36327.238000000005</v>
      </c>
      <c r="E42" s="46"/>
      <c r="F42" s="47"/>
      <c r="G42" s="48"/>
      <c r="H42" s="48"/>
      <c r="I42" s="46"/>
      <c r="J42" s="47"/>
      <c r="K42" s="123"/>
      <c r="L42" s="123"/>
      <c r="M42" s="121"/>
      <c r="N42" s="122"/>
      <c r="O42" s="123"/>
      <c r="P42" s="124"/>
      <c r="R42" s="82"/>
    </row>
    <row r="43" spans="1:18" ht="20.100000000000001" customHeight="1">
      <c r="A43" s="333"/>
      <c r="B43" s="333"/>
      <c r="C43" s="334"/>
      <c r="D43" s="340"/>
      <c r="E43" s="80"/>
      <c r="F43" s="51"/>
      <c r="G43" s="81"/>
      <c r="H43" s="51"/>
      <c r="I43" s="81"/>
      <c r="J43" s="51"/>
      <c r="K43" s="81">
        <v>0.2</v>
      </c>
      <c r="L43" s="51">
        <f>D42*K43</f>
        <v>7265.4476000000013</v>
      </c>
      <c r="M43" s="81">
        <v>0.5</v>
      </c>
      <c r="N43" s="51">
        <f>$D42*M43</f>
        <v>18163.619000000002</v>
      </c>
      <c r="O43" s="81">
        <v>0.3</v>
      </c>
      <c r="P43" s="52">
        <f>$D42*O43</f>
        <v>10898.171400000001</v>
      </c>
      <c r="R43" s="108">
        <f>SUM(O43,M43,K43,I43,G43,E43)</f>
        <v>1</v>
      </c>
    </row>
    <row r="44" spans="1:18" ht="9.9499999999999993" customHeight="1">
      <c r="A44" s="38"/>
      <c r="B44" s="64"/>
      <c r="C44" s="65"/>
      <c r="D44" s="66"/>
      <c r="E44" s="85"/>
      <c r="F44" s="86"/>
      <c r="G44" s="67"/>
      <c r="H44" s="87"/>
      <c r="I44" s="67"/>
      <c r="J44" s="87"/>
      <c r="K44" s="142"/>
      <c r="L44" s="143"/>
      <c r="M44" s="142"/>
      <c r="N44" s="143"/>
      <c r="O44" s="142"/>
      <c r="P44" s="144"/>
      <c r="R44" s="109"/>
    </row>
    <row r="45" spans="1:18" ht="9.9499999999999993" customHeight="1">
      <c r="A45" s="333" t="str">
        <f>'Orçamento UFAL'!A163</f>
        <v>13.</v>
      </c>
      <c r="B45" s="333" t="str">
        <f>'Orçamento UFAL'!B163</f>
        <v>DIVERSOS</v>
      </c>
      <c r="C45" s="334">
        <f>D45/$D$51</f>
        <v>0.21052051298933477</v>
      </c>
      <c r="D45" s="341">
        <f>'Orçamento UFAL'!H163</f>
        <v>151816.10974000001</v>
      </c>
      <c r="E45" s="46"/>
      <c r="F45" s="47"/>
      <c r="G45" s="48"/>
      <c r="H45" s="48"/>
      <c r="I45" s="46"/>
      <c r="J45" s="47"/>
      <c r="K45" s="123"/>
      <c r="L45" s="123"/>
      <c r="M45" s="121"/>
      <c r="N45" s="122"/>
      <c r="O45" s="123"/>
      <c r="P45" s="124"/>
      <c r="R45" s="82"/>
    </row>
    <row r="46" spans="1:18" ht="20.100000000000001" customHeight="1">
      <c r="A46" s="333"/>
      <c r="B46" s="333"/>
      <c r="C46" s="334"/>
      <c r="D46" s="341"/>
      <c r="E46" s="80"/>
      <c r="F46" s="51"/>
      <c r="G46" s="81"/>
      <c r="H46" s="51"/>
      <c r="I46" s="81"/>
      <c r="J46" s="51"/>
      <c r="K46" s="81">
        <v>0.3</v>
      </c>
      <c r="L46" s="51">
        <f>$D45*K46</f>
        <v>45544.832922000001</v>
      </c>
      <c r="M46" s="81">
        <v>0.4</v>
      </c>
      <c r="N46" s="51">
        <f>$D45*M46</f>
        <v>60726.443896000012</v>
      </c>
      <c r="O46" s="81">
        <v>0.3</v>
      </c>
      <c r="P46" s="52">
        <f>$D45*O46</f>
        <v>45544.832922000001</v>
      </c>
      <c r="R46" s="108">
        <f>SUM(O46,M46,K46,I46,G46,E46)</f>
        <v>1</v>
      </c>
    </row>
    <row r="47" spans="1:18" ht="9.9499999999999993" customHeight="1">
      <c r="A47" s="88"/>
      <c r="B47" s="89"/>
      <c r="C47" s="90"/>
      <c r="D47" s="140"/>
      <c r="E47" s="91"/>
      <c r="F47" s="92"/>
      <c r="G47" s="93"/>
      <c r="H47" s="94"/>
      <c r="I47" s="93"/>
      <c r="J47" s="94"/>
      <c r="K47" s="93"/>
      <c r="L47" s="94"/>
      <c r="M47" s="93"/>
      <c r="N47" s="94"/>
      <c r="O47" s="93"/>
      <c r="P47" s="95"/>
      <c r="R47" s="109"/>
    </row>
    <row r="48" spans="1:18" ht="9.9499999999999993" customHeight="1">
      <c r="A48" s="333" t="str">
        <f>'Orçamento UFAL'!A184</f>
        <v>14.</v>
      </c>
      <c r="B48" s="333" t="str">
        <f>'Orçamento UFAL'!B184</f>
        <v>ADMINISTRAÇÃO LOCAL DA OBRA</v>
      </c>
      <c r="C48" s="334">
        <f>D48/$D$51</f>
        <v>8.9930144753258182E-2</v>
      </c>
      <c r="D48" s="345">
        <f>'Orçamento UFAL'!H184</f>
        <v>64852.800000000003</v>
      </c>
      <c r="E48" s="121"/>
      <c r="F48" s="122"/>
      <c r="G48" s="123"/>
      <c r="H48" s="123"/>
      <c r="I48" s="121"/>
      <c r="J48" s="122"/>
      <c r="K48" s="123"/>
      <c r="L48" s="123"/>
      <c r="M48" s="121"/>
      <c r="N48" s="122"/>
      <c r="O48" s="123"/>
      <c r="P48" s="124"/>
      <c r="R48" s="82"/>
    </row>
    <row r="49" spans="1:18" ht="27.75" customHeight="1" thickBot="1">
      <c r="A49" s="333"/>
      <c r="B49" s="333"/>
      <c r="C49" s="334"/>
      <c r="D49" s="346"/>
      <c r="E49" s="145">
        <v>6.7000000000000004E-2</v>
      </c>
      <c r="F49" s="51">
        <f>E49*D48</f>
        <v>4345.1376</v>
      </c>
      <c r="G49" s="146">
        <v>0.18659999999999999</v>
      </c>
      <c r="H49" s="51">
        <f>G49*D48</f>
        <v>12101.53248</v>
      </c>
      <c r="I49" s="146">
        <v>0.18659999999999999</v>
      </c>
      <c r="J49" s="51">
        <f>K49*D48</f>
        <v>12101.53248</v>
      </c>
      <c r="K49" s="146">
        <v>0.18659999999999999</v>
      </c>
      <c r="L49" s="51">
        <f>K49*D48</f>
        <v>12101.53248</v>
      </c>
      <c r="M49" s="146">
        <v>0.18659999999999999</v>
      </c>
      <c r="N49" s="51">
        <f>M49*D48</f>
        <v>12101.53248</v>
      </c>
      <c r="O49" s="146">
        <v>0.18659999999999999</v>
      </c>
      <c r="P49" s="52">
        <f>O49*D48</f>
        <v>12101.53248</v>
      </c>
      <c r="R49" s="108">
        <f>SUM(O49,M49,K49,I49,G49,E49)</f>
        <v>1</v>
      </c>
    </row>
    <row r="50" spans="1:18" ht="11.25" customHeight="1">
      <c r="A50" s="96"/>
      <c r="B50" s="97"/>
      <c r="C50" s="98"/>
      <c r="D50" s="141"/>
      <c r="E50" s="99"/>
      <c r="F50" s="100"/>
      <c r="G50" s="98"/>
      <c r="H50" s="101"/>
      <c r="I50" s="98"/>
      <c r="J50" s="101"/>
      <c r="K50" s="98"/>
      <c r="L50" s="101"/>
      <c r="M50" s="98"/>
      <c r="N50" s="101"/>
      <c r="O50" s="98"/>
      <c r="P50" s="102"/>
      <c r="R50" s="238"/>
    </row>
    <row r="51" spans="1:18">
      <c r="A51" s="335" t="s">
        <v>100</v>
      </c>
      <c r="B51" s="336"/>
      <c r="C51" s="336"/>
      <c r="D51" s="68">
        <f>SUM(D9:D49)</f>
        <v>721146.39844000002</v>
      </c>
      <c r="E51" s="69"/>
      <c r="F51" s="70">
        <f>SUM(F9:F49)</f>
        <v>15130.299399999998</v>
      </c>
      <c r="G51" s="71"/>
      <c r="H51" s="111">
        <f>SUM(H9:H49)</f>
        <v>20208.158879999999</v>
      </c>
      <c r="I51" s="71"/>
      <c r="J51" s="111">
        <f>SUM(J9:J49)</f>
        <v>56190.82864</v>
      </c>
      <c r="K51" s="71"/>
      <c r="L51" s="111">
        <f>SUM(L10:L49)</f>
        <v>200551.55690200001</v>
      </c>
      <c r="M51" s="71"/>
      <c r="N51" s="111">
        <f>SUM(N9:N49)</f>
        <v>259234.21729600002</v>
      </c>
      <c r="O51" s="71"/>
      <c r="P51" s="133">
        <f>SUM(P8:P49)</f>
        <v>169831.33732200001</v>
      </c>
      <c r="R51" s="238"/>
    </row>
    <row r="52" spans="1:18">
      <c r="A52" s="337" t="s">
        <v>462</v>
      </c>
      <c r="B52" s="338"/>
      <c r="C52" s="339"/>
      <c r="D52" s="68">
        <f>D51*0.25</f>
        <v>180286.59961</v>
      </c>
      <c r="E52" s="72"/>
      <c r="F52" s="70">
        <f>F51*0.25</f>
        <v>3782.5748499999995</v>
      </c>
      <c r="G52" s="73"/>
      <c r="H52" s="112">
        <f>H51*0.25</f>
        <v>5052.0397199999998</v>
      </c>
      <c r="I52" s="72"/>
      <c r="J52" s="112">
        <f>J51*0.25</f>
        <v>14047.70716</v>
      </c>
      <c r="K52" s="73"/>
      <c r="L52" s="112">
        <f>L51*0.25</f>
        <v>50137.889225500003</v>
      </c>
      <c r="M52" s="72"/>
      <c r="N52" s="112">
        <f>N51*0.25</f>
        <v>64808.554324000004</v>
      </c>
      <c r="O52" s="73"/>
      <c r="P52" s="74">
        <f>P51*0.25</f>
        <v>42457.834330500002</v>
      </c>
      <c r="R52" s="238"/>
    </row>
    <row r="53" spans="1:18" ht="20.100000000000001" customHeight="1" thickBot="1">
      <c r="A53" s="337" t="s">
        <v>40</v>
      </c>
      <c r="B53" s="338"/>
      <c r="C53" s="339"/>
      <c r="D53" s="68"/>
      <c r="E53" s="76">
        <f>F53/$D$54</f>
        <v>2.0980898514823342E-2</v>
      </c>
      <c r="F53" s="112">
        <f>SUM(F51:F52)</f>
        <v>18912.874249999997</v>
      </c>
      <c r="G53" s="76">
        <f>H53/$D$54</f>
        <v>2.8022269713493319E-2</v>
      </c>
      <c r="H53" s="112">
        <f>SUM(H51:H52)</f>
        <v>25260.1986</v>
      </c>
      <c r="I53" s="76">
        <f>J53/$D$54</f>
        <v>7.791875375312593E-2</v>
      </c>
      <c r="J53" s="112">
        <f>SUM(J51:J52)</f>
        <v>70238.535799999998</v>
      </c>
      <c r="K53" s="76">
        <f>L53/$D$54</f>
        <v>0.27810103099154015</v>
      </c>
      <c r="L53" s="112">
        <f>SUM(L51:L52)</f>
        <v>250689.44612750001</v>
      </c>
      <c r="M53" s="76">
        <f>N53/$D$54</f>
        <v>0.35947516046226013</v>
      </c>
      <c r="N53" s="112">
        <f>SUM(N51:N52)</f>
        <v>324042.77162000001</v>
      </c>
      <c r="O53" s="76">
        <f>P53/$D$54</f>
        <v>0.23550188656475707</v>
      </c>
      <c r="P53" s="112">
        <f>SUM(P51:P52)</f>
        <v>212289.17165249999</v>
      </c>
      <c r="R53" s="108">
        <f>SUM(O53,M53,K53,I53,G53,E53)</f>
        <v>1</v>
      </c>
    </row>
    <row r="54" spans="1:18" ht="20.100000000000001" customHeight="1" thickBot="1">
      <c r="A54" s="348" t="s">
        <v>23</v>
      </c>
      <c r="B54" s="349"/>
      <c r="C54" s="349"/>
      <c r="D54" s="75">
        <f>SUM(D51:D52)</f>
        <v>901432.99805000005</v>
      </c>
      <c r="E54" s="76">
        <f>F54/$D$54</f>
        <v>2.0980898514823342E-2</v>
      </c>
      <c r="F54" s="147">
        <f>F53</f>
        <v>18912.874249999997</v>
      </c>
      <c r="G54" s="76">
        <f>H54/$D$54</f>
        <v>4.9003168228316664E-2</v>
      </c>
      <c r="H54" s="147">
        <f>H53+F54</f>
        <v>44173.072849999997</v>
      </c>
      <c r="I54" s="76">
        <f>J54/$D$54</f>
        <v>0.12692192198144259</v>
      </c>
      <c r="J54" s="147">
        <f>J53+H54</f>
        <v>114411.60864999999</v>
      </c>
      <c r="K54" s="76">
        <f>L54/$D$54</f>
        <v>0.40502295297298269</v>
      </c>
      <c r="L54" s="147">
        <f>L53+J54</f>
        <v>365101.05477749999</v>
      </c>
      <c r="M54" s="76">
        <f>N54/$D$54</f>
        <v>0.76449811343524288</v>
      </c>
      <c r="N54" s="147">
        <f>N53+L54</f>
        <v>689143.8263975</v>
      </c>
      <c r="O54" s="76">
        <f>P54/$D$54</f>
        <v>1</v>
      </c>
      <c r="P54" s="147">
        <f>P53+N54</f>
        <v>901432.99805000005</v>
      </c>
      <c r="R54" s="238"/>
    </row>
    <row r="58" spans="1:18">
      <c r="K58" s="120"/>
    </row>
    <row r="59" spans="1:18">
      <c r="B59" s="347"/>
    </row>
    <row r="60" spans="1:18">
      <c r="B60" s="347"/>
    </row>
  </sheetData>
  <dataConsolidate/>
  <mergeCells count="68">
    <mergeCell ref="D48:D49"/>
    <mergeCell ref="B59:B60"/>
    <mergeCell ref="A54:C54"/>
    <mergeCell ref="A53:C53"/>
    <mergeCell ref="K6:L6"/>
    <mergeCell ref="A6:D6"/>
    <mergeCell ref="C9:C10"/>
    <mergeCell ref="A18:A19"/>
    <mergeCell ref="B18:B19"/>
    <mergeCell ref="E6:F6"/>
    <mergeCell ref="G6:H6"/>
    <mergeCell ref="I6:J6"/>
    <mergeCell ref="D30:D31"/>
    <mergeCell ref="D36:D37"/>
    <mergeCell ref="D42:D43"/>
    <mergeCell ref="B45:B46"/>
    <mergeCell ref="O6:P6"/>
    <mergeCell ref="D21:D22"/>
    <mergeCell ref="A27:A28"/>
    <mergeCell ref="B27:B28"/>
    <mergeCell ref="C27:C28"/>
    <mergeCell ref="A21:A22"/>
    <mergeCell ref="C12:C13"/>
    <mergeCell ref="B12:B13"/>
    <mergeCell ref="A12:A13"/>
    <mergeCell ref="D9:D10"/>
    <mergeCell ref="A15:A16"/>
    <mergeCell ref="B15:B16"/>
    <mergeCell ref="C15:C16"/>
    <mergeCell ref="D12:D13"/>
    <mergeCell ref="A9:A10"/>
    <mergeCell ref="M6:N6"/>
    <mergeCell ref="D45:D46"/>
    <mergeCell ref="C45:C46"/>
    <mergeCell ref="C42:C43"/>
    <mergeCell ref="B39:B40"/>
    <mergeCell ref="A42:A43"/>
    <mergeCell ref="B42:B43"/>
    <mergeCell ref="C39:C40"/>
    <mergeCell ref="B9:B10"/>
    <mergeCell ref="D39:D40"/>
    <mergeCell ref="C24:C25"/>
    <mergeCell ref="D18:D19"/>
    <mergeCell ref="D27:D28"/>
    <mergeCell ref="D24:D25"/>
    <mergeCell ref="B30:B31"/>
    <mergeCell ref="C30:C31"/>
    <mergeCell ref="B36:B37"/>
    <mergeCell ref="C36:C37"/>
    <mergeCell ref="B33:B34"/>
    <mergeCell ref="C21:C22"/>
    <mergeCell ref="C33:C34"/>
    <mergeCell ref="D33:D34"/>
    <mergeCell ref="D15:D16"/>
    <mergeCell ref="B21:B22"/>
    <mergeCell ref="A24:A25"/>
    <mergeCell ref="B24:B25"/>
    <mergeCell ref="C18:C19"/>
    <mergeCell ref="A51:C51"/>
    <mergeCell ref="A52:C52"/>
    <mergeCell ref="A33:A34"/>
    <mergeCell ref="A30:A31"/>
    <mergeCell ref="A36:A37"/>
    <mergeCell ref="A48:A49"/>
    <mergeCell ref="B48:B49"/>
    <mergeCell ref="C48:C49"/>
    <mergeCell ref="A39:A40"/>
    <mergeCell ref="A45:A46"/>
  </mergeCells>
  <phoneticPr fontId="0" type="noConversion"/>
  <conditionalFormatting sqref="R48 E48:P48 R30 R33 R36 R39 R42 R45 E30:P30 E33:P33 E36:P36 E39:P39 E42:P42 E45:P45 R18 R21 R24 R27 E18:P18 E21:P21 E24:P24 E27:P27 R9 R12 R15 O15:P15 E15:J15 E12:P12 E9:P9">
    <cfRule type="cellIs" dxfId="9" priority="29" operator="equal">
      <formula>1</formula>
    </cfRule>
  </conditionalFormatting>
  <conditionalFormatting sqref="R49:R52 R31 R34 R37 R40 R43 R46 R19 R22 R25 R28 R10 R13 R16">
    <cfRule type="cellIs" dxfId="8" priority="20" operator="equal">
      <formula>0</formula>
    </cfRule>
    <cfRule type="cellIs" dxfId="7" priority="23" operator="lessThan">
      <formula>1</formula>
    </cfRule>
    <cfRule type="cellIs" dxfId="6" priority="24" operator="greaterThan">
      <formula>1</formula>
    </cfRule>
  </conditionalFormatting>
  <conditionalFormatting sqref="R49:R52 R31 R34 R37 R40 R43 R46 R19 R22 R25 R28 R13 R16">
    <cfRule type="cellIs" dxfId="5" priority="21" operator="lessThan">
      <formula>1</formula>
    </cfRule>
    <cfRule type="cellIs" dxfId="4" priority="22" operator="greaterThan">
      <formula>1</formula>
    </cfRule>
  </conditionalFormatting>
  <conditionalFormatting sqref="R54">
    <cfRule type="cellIs" dxfId="3" priority="6" operator="lessThan">
      <formula>1</formula>
    </cfRule>
    <cfRule type="cellIs" dxfId="2" priority="7" operator="greaterThan">
      <formula>1</formula>
    </cfRule>
  </conditionalFormatting>
  <conditionalFormatting sqref="R53:R54">
    <cfRule type="cellIs" dxfId="1" priority="1" operator="lessThan">
      <formula>1</formula>
    </cfRule>
    <cfRule type="cellIs" dxfId="0" priority="2" operator="greaterThan">
      <formula>1</formula>
    </cfRule>
  </conditionalFormatting>
  <pageMargins left="0.31496062992125984" right="0.39370078740157483" top="0.11811023622047245" bottom="7.874015748031496E-2" header="0.23622047244094491" footer="3.937007874015748E-2"/>
  <pageSetup scale="65" orientation="landscape" r:id="rId1"/>
  <rowBreaks count="1" manualBreakCount="1">
    <brk id="55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UFAL</vt:lpstr>
      <vt:lpstr>Cronograma UFAL</vt:lpstr>
      <vt:lpstr>'Cronograma UFAL'!Area_de_impressao</vt:lpstr>
      <vt:lpstr>'Orçamento UFAL'!Area_de_impressao</vt:lpstr>
      <vt:lpstr>'Orçamento UFAL'!Titulos_de_impressao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Reforma e Adapt.no Prédio do Biotério, CACS</dc:title>
  <dc:creator>Prefeitura Universitária / UFAL</dc:creator>
  <cp:lastModifiedBy>gpos</cp:lastModifiedBy>
  <cp:lastPrinted>2013-05-06T12:27:58Z</cp:lastPrinted>
  <dcterms:created xsi:type="dcterms:W3CDTF">2002-02-22T14:58:51Z</dcterms:created>
  <dcterms:modified xsi:type="dcterms:W3CDTF">2013-07-18T16:44:21Z</dcterms:modified>
</cp:coreProperties>
</file>