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agentes" sheetId="1" r:id="rId4"/>
  </sheets>
  <definedNames>
    <definedName hidden="1" localSheetId="0" name="_xlnm._FilterDatabase">Reagentes!$A$1:$BM$310</definedName>
  </definedNames>
  <calcPr/>
</workbook>
</file>

<file path=xl/sharedStrings.xml><?xml version="1.0" encoding="utf-8"?>
<sst xmlns="http://schemas.openxmlformats.org/spreadsheetml/2006/main" count="4341" uniqueCount="2164">
  <si>
    <t>fp</t>
  </si>
  <si>
    <t>NECESSIDADE</t>
  </si>
  <si>
    <t>CATMAT</t>
  </si>
  <si>
    <t>COMISSÃO</t>
  </si>
  <si>
    <t>TIPIFICAÇÃO</t>
  </si>
  <si>
    <t>QUANTIDADE</t>
  </si>
  <si>
    <t>QUANTIDADE SELECIONADA</t>
  </si>
  <si>
    <t>VALOR ESTIMADO</t>
  </si>
  <si>
    <t>TOTAL</t>
  </si>
  <si>
    <t>OBS</t>
  </si>
  <si>
    <t>Valor cotado BP</t>
  </si>
  <si>
    <t>Nº BP</t>
  </si>
  <si>
    <t>Cotações SIPAC</t>
  </si>
  <si>
    <t>SEM cotações antigas</t>
  </si>
  <si>
    <t>SIPAC</t>
  </si>
  <si>
    <t>Denominação</t>
  </si>
  <si>
    <t>especifiçação</t>
  </si>
  <si>
    <t>Und_Fornecimento</t>
  </si>
  <si>
    <t>QTD_TOTAL</t>
  </si>
  <si>
    <t>AGROECOLOGIA TECNOLÓGICO/CECA</t>
  </si>
  <si>
    <t>AGROECOLOGIA/CECA</t>
  </si>
  <si>
    <t>AGRONOMIA/ARAPIRACA</t>
  </si>
  <si>
    <t>AGRONOMIA/CECA</t>
  </si>
  <si>
    <t>BIOLOGIA/PENEDO</t>
  </si>
  <si>
    <t>CAMPUS SERTÃO</t>
  </si>
  <si>
    <t>CENTRO DE TECNOLOGIA</t>
  </si>
  <si>
    <t>ENFERMAGEM/ARAPIRACA</t>
  </si>
  <si>
    <t>ENGENHARIA DE ENERGIA/CECA</t>
  </si>
  <si>
    <t>ENGENHARIA DE PESCA/PENEDO</t>
  </si>
  <si>
    <t>ENGENHARIA DE PRODUÇÃO/PENEDO</t>
  </si>
  <si>
    <t>ENGENHARIA FLORESTAL/CECA</t>
  </si>
  <si>
    <t>FACULDADE DE ODONTOLOGIA</t>
  </si>
  <si>
    <t>FACULDADE DE MEDICINA</t>
  </si>
  <si>
    <t>HOSPITAL VETERINÁRIO/CECA</t>
  </si>
  <si>
    <t>INSTITUTO DE GEOGRAFIA, DESENVOLVIMENTO E MEIO AMBIENTE</t>
  </si>
  <si>
    <t>INSTITUTO DE QUÍMICA E BIOTECNOLOGIA</t>
  </si>
  <si>
    <t>MEDICINA/ARAPIRACA</t>
  </si>
  <si>
    <t>MHN/PROEX</t>
  </si>
  <si>
    <t>PINACOTECA/PROEX</t>
  </si>
  <si>
    <t>QUÍMICA E QUÍMICA EAD/ARAPIRACA</t>
  </si>
  <si>
    <t>U.E. VIÇOSA/FAZENDA/CECA</t>
  </si>
  <si>
    <t>USINA CIÊNCIA/PROEX</t>
  </si>
  <si>
    <t>ZOOTECNIA CECA</t>
  </si>
  <si>
    <t>ZOOTECNIA/ARAPIRACA</t>
  </si>
  <si>
    <t>RAZÃO 3</t>
  </si>
  <si>
    <t>Cotador</t>
  </si>
  <si>
    <t>valor médio</t>
  </si>
  <si>
    <t>Valor máximo 130%</t>
  </si>
  <si>
    <t>CNPJ 1</t>
  </si>
  <si>
    <t>Valor site 1</t>
  </si>
  <si>
    <t>Site 1</t>
  </si>
  <si>
    <t>RAZÃO 1</t>
  </si>
  <si>
    <t>Marca 1</t>
  </si>
  <si>
    <t>DATA 1</t>
  </si>
  <si>
    <t>CNPJ 2</t>
  </si>
  <si>
    <t>Valor site 2</t>
  </si>
  <si>
    <t>Site 2</t>
  </si>
  <si>
    <t>RAZÃO 2</t>
  </si>
  <si>
    <t>Marca 2</t>
  </si>
  <si>
    <t>DATA2</t>
  </si>
  <si>
    <t>CNPJ 3</t>
  </si>
  <si>
    <t>Valor site 3</t>
  </si>
  <si>
    <t>Site 3</t>
  </si>
  <si>
    <t>Marca 3</t>
  </si>
  <si>
    <t>DATA 3</t>
  </si>
  <si>
    <t>CATMAT -452940- PADRÃO REFERÊNCIA, TIPO 1 17-ALFA-METILTESTOSTERONA, APRESENTAÇÃO 1 EM 1,2-DIMETOXIETANO, CONCENTRAÇÃO 1 1, NÚMERO DE REFERÊNCIA QUÍMICA CAS 58-18-4</t>
  </si>
  <si>
    <t>452940</t>
  </si>
  <si>
    <t>REAGENTES, SOLVENTES E MEIOS DE CULTURA</t>
  </si>
  <si>
    <t>MATERIAL DE CONSUMO</t>
  </si>
  <si>
    <t>SIM</t>
  </si>
  <si>
    <t>SEM</t>
  </si>
  <si>
    <t>ALFA-METILTESTOSTERONA</t>
  </si>
  <si>
    <t xml:space="preserve">CATMAT -452940- PADRÃO REFERÊNCIA, TIPO 1 17-ALFA-METILTESTOSTERONA, APRESENTAÇÃO 1 EM 1,2-DIMETOXIETANO, CONCENTRAÇÃO 1 1, NÚMERO DE REFERÊNCIA QUÍMICA CAS 58-18-4 </t>
  </si>
  <si>
    <t>GRAMA</t>
  </si>
  <si>
    <t xml:space="preserve">CATMAT -366451- ACETATO DE AMÔNIO, COMPOSIÇÃO BÁSICA NH4C2H3O2, ASPECTO FÍSICO CRISTAL BRANCO, PESO MOLECULAR 77,08 G/MOL, PUREZA MÍNIMA DE 97%, CARACTERÍSTICAS ADICIONAIS: REAGENTE P.A. ACS, NÚMERO DE REFERÊNCIA QUÍMICA: CAS 631-61-8. FORNECIMENTO EM FRASCO COM 500 G. ATENÇÃO: OBSERVAR A UNIDADE DE MEDIDA DO SIPAC E COLOCAR MÚLTIPLO DE 500 G.
</t>
  </si>
  <si>
    <t>366451</t>
  </si>
  <si>
    <t>1 aumentado 500 g</t>
  </si>
  <si>
    <t>ACETATO DE AMÔNIO P.A. ACS</t>
  </si>
  <si>
    <t>CATMAT -366451- Acetato de amônio, composição básica NH4C2H3O2, aspecto físico cristal branco, peso molecular 77,08 g/mol, pureza mínima de 97%, características adicionais: reagente P.A. ACS, número de referência química: CAS 631-61-8. Fornecimento em frasco com 500 g. Atenção: observar a unidade de medida do SIPAC e colocar múltiplo de 500 g.</t>
  </si>
  <si>
    <t>GRAMAS</t>
  </si>
  <si>
    <t>LAB IMPORT - IMPORTAÇÃO E EXPORTAÇÃO DE EQUIPAMENTOS LTDA</t>
  </si>
  <si>
    <t>Sivaldo</t>
  </si>
  <si>
    <t>14.453.599/0001-23</t>
  </si>
  <si>
    <t>https://www.orionprodutoscientificos.com.br/acetato-de-amonio-p-a-acs-500-g-fabricante-neon?utm_source=Site&amp;utm_medium=GoogleMerchant&amp;utm_campaign=GoogleMerchant</t>
  </si>
  <si>
    <t>ORION PRODUTOS E SERVIÇOS DE LABORATORIO LTDA</t>
  </si>
  <si>
    <t>Neon</t>
  </si>
  <si>
    <t>03.074.856/0001-08</t>
  </si>
  <si>
    <t>https://www.bclab.com.br/quimicos-reagentes/acetato-de-amonio-pa-acs-exodo?variant_id=63</t>
  </si>
  <si>
    <t>BC Laboratório de Análises Clínicas Ltda</t>
  </si>
  <si>
    <t>Êxodo</t>
  </si>
  <si>
    <t>31.904.234/0001-97</t>
  </si>
  <si>
    <t>https://www.labimport.com.br/reagentes/reagentes-e-solventes/acetato-de-amonio-pa-acs-1kg-11577</t>
  </si>
  <si>
    <t>ACETATO DE CÁLCIO PA 99% 1 KG	-
CATMAT - 353821 - ACETATO DE CÁLCIO, COMPOSIÇÃO QUÍMICA C4H6CAO4.H2O, ASPECTO FÍSICO PÓ BRANCO CRISTALINO, PESO MOLECULAR 176,19, TEOR DE PUREZA PUREZA MÍNIMA DE 99%, CARACTERÍSTICA ADICIONAL REAGENTE P.A., NÚMERO DE REFERÊNCIA QUÍMICA* CAS 5743-26-0</t>
  </si>
  <si>
    <t>353821</t>
  </si>
  <si>
    <t>ACETATO DE CÁLCIO P.A. (H2O)</t>
  </si>
  <si>
    <t>CATMAT - 353821 - Acetato de cálcio, composição química C4H6CaO4.H2O, aspecto físico pó branco cristalino, peso molecular 176,18 g/mol, pureza mínima de 99%, característica adicional reagente P.A., número de referência química: cas 5743-26-0. fornecimento em frasco de 1000 g. Atenção: observar a unidade de medida do SIPAC e colocar múltiplo de 1000 g.</t>
  </si>
  <si>
    <t>https://www.orionprodutoscientificos.com.br/acetato-de-calcio-h2o-monohidratado-pa-1kg-exodo-cientifica</t>
  </si>
  <si>
    <t>Exodo</t>
  </si>
  <si>
    <t>https://www.bclab.com.br/quimicos-reagentes/acetato-de-calcio-h2o-pa-exodo?variant_id=81</t>
  </si>
  <si>
    <t>https://www.labimport.com.br/reagentes/reagentes-e-solventes/acetato-de-calcio-h2o-monohidratado-pa-1kg-11583</t>
  </si>
  <si>
    <t xml:space="preserve">[ACETATO DE CHUMBO II NEUTRO P.A. ACS] ACETATO DE CHUMBO NEUTRO ASPECTO FÍSICO: CRISTAL BRANCO , FÓRMULA QUÍMICA: PB(CH3COO)2.3H2O, PESO MOLECULAR: 379,34 G/MOL, GRAU DE PUREZA: PUREZA MÍNIMA DE 99%, CARACTERÍSTICA ADICIONAL: REAGENTE P.A. ACS, NÚMERO DE REFERÊNCIA QUÍMICA: CAS 6080-56-4
</t>
  </si>
  <si>
    <t>347136</t>
  </si>
  <si>
    <t>Apaguei do banco de dados sem querer. Cadatrar novamente</t>
  </si>
  <si>
    <t>ACETATO DE CHUMBO NEUTRO (3H2O) P.A. ACS</t>
  </si>
  <si>
    <t>CATMAT -347136- Acetato de chumbo neutro aspecto físico: cristal branco , fórmula química: PB(CH3COO)2.3H2O, peso molecular: 379,34 g/mol, grau de pureza: pureza mínima de 99% , característica adicional: reagente P.A. ACS, número de referência química: CAS 6080-56-4.  fornecimento em frasco de 1000 g. Atenção: observar a unidade de medida do SIPAC e colocar múltiplo de 1000 g.</t>
  </si>
  <si>
    <t>LINKLAB PRODUTOS PARA LABORATORIOS LTDA</t>
  </si>
  <si>
    <t>https://www.orionprodutoscientificos.com.br/acetato-de-chumbo-neutro-3h2o-pa-1kg-exodo-cientifica</t>
  </si>
  <si>
    <t>https://www.bclab.com.br/quimicos-reagentes/acetato-de-chumbo-neutro-3h2o-pa-acs-cientifica?variant_id=105</t>
  </si>
  <si>
    <t>ACS</t>
  </si>
  <si>
    <t xml:space="preserve"> 31.089.680/0001-95</t>
  </si>
  <si>
    <t>https://www.lojalinklab.com.br/acetato-de-chumbo-neutro-3h2o-pa-acs-1kg-sem-controle?parceiro=1142</t>
  </si>
  <si>
    <t>Halogenn</t>
  </si>
  <si>
    <t>[ACETATO DE COBALTO II (4H2O) PA (ACETATO DE COBALTO)] ACETATO DE COBALTO, ASPECTO FÍSICO: CRISTAL VERMELHO, HIGROSCÓPICO, INODORO, FÓRMULA QUÍMICA: (CH3COO)2CO.4H2O (TETRAHIDRATADO), PESO MOLECULAR: 249,08 G,MOL, GRAU DE PUREZA: PUREZA MÍNIMA DE 98%, NÚMERO DE REFERÊNCIA QUÍMICA: CAS 6147-53-1, CARACTERÍSTICAS ADICIONAIS: REAGENTE ACS</t>
  </si>
  <si>
    <t>436611</t>
  </si>
  <si>
    <t>Alterada CATMAT para P.A.</t>
  </si>
  <si>
    <t>ACETATO DE COBALTO II (4H2O) P.A.</t>
  </si>
  <si>
    <t>CATMAT -359729- ACETATO DE COBALTO, ASPECTO FÍSICO: CRISTAL VERMELHO, HIGROSCÓPICO, INODORO, FÓRMULA QUÍMICA: (CH3COO)2CO.4H2O (TETRAHIDRATADO), PESO MOLECULAR: 249,08 G,MOL, GRAU DE PUREZA: PUREZA MÍNIMA DE 98%, NÚMERO DE REFERÊNCIA QUÍMICA: CAS 6147-53-1, CARACTERÍSTICAS ADICIONAIS: REAGENTE P.A. Fornecimento em frasco de 100 g. Atenção: observar a unidade de medida do SIPAC e colocar múltiplo de 100 g.</t>
  </si>
  <si>
    <t>https://www.orionprodutoscientificos.com.br/acetato-de-cobalto-ii-oso-4h2o-pa-acs-100g-exodo-cientifica?utm_source=Site&amp;utm_medium=GoogleMerchant&amp;utm_campaign=GoogleMerchant</t>
  </si>
  <si>
    <t>https://www.bclab.com.br/quimicos-reagentes/acetato-de-cobalto-ii-oso-4h2o-pa-acs-cientifica?variant_id=111</t>
  </si>
  <si>
    <t>https://www.labimport.com.br/reagentes/cloreto-de-cobalto/cloreto-de-cobalto-ii-oso-6h2o-pa-acs-100g</t>
  </si>
  <si>
    <t>CATMAT - 380787 - ACETATO DE ETILA, ASPECTO FÍSICO LÍQUIDO INCOLOR, LÍMPIDO, INFLAMÁVEL, PUREZA MÍNIMA DE 99,5%, COMPOSIÇÃO QUÍMICA CH3CO2C2H5, PESO MOLECULAR 88,11 G/MOL, CARACTERÍSTICA ADICIONAL REAGENTE P.A. ACS, NÚMERO DE REFERÊNCIA QUÍMICA CAS 141-78-6.</t>
  </si>
  <si>
    <t>380787</t>
  </si>
  <si>
    <t>ACETATO DE ETILA P.A. ACS</t>
  </si>
  <si>
    <t>CATMAT - 380787 - Acetato de etila, aspecto físico líquido incolor, límpido, inflamável, pureza mínima de 99,5%, composição química CH3CO2C2H5, peso molecular 88,11 g/mol, característica adicional reagente P.A. ACS, número de referência química CAS 141-78-6. Entregue em frasco de vidro ambar.</t>
  </si>
  <si>
    <t>LITROS</t>
  </si>
  <si>
    <t xml:space="preserve">01.530.501/0001-42 </t>
  </si>
  <si>
    <t>https://www.carvalhaes.net/produto/detalhes/SY01A1010.01.BJ/acetato-de-etila-pa-acs-iso-1-l</t>
  </si>
  <si>
    <t>CARVALHAES PRODUTOS PARA LABORATORIO LTDA</t>
  </si>
  <si>
    <t>SYNTH</t>
  </si>
  <si>
    <t>https://www.lojalinklab.com.br/acetato-de-etila-pa-acs-1l-controle-pc-e-pf?parceiro=1142</t>
  </si>
  <si>
    <t xml:space="preserve">[ACETATO DE SÓDIO CRISTAL P.A. ACS] ACETATO DE SÓDIO, ASPECTO FÍSICO: FINO COMPOSTO DE CRISTAIS BRANCOS OU INCOLORES, FÓRMULA QUÍMICA: CHACOONA.3H20, MASSA MOLECULAR: 136,08 G,MOL, GRAU DE PUREZA: PUREZA MÍNIMA DE 99%, CARACTERÍSTICA ADICIONAL: REAGENTE P.A. ACS, NÚMERO DE REFERÊNCIA QUÍMICA: CAS 6131-90-4 
</t>
  </si>
  <si>
    <t>381608</t>
  </si>
  <si>
    <t>alterado o frasco para 1000 g que é padrão</t>
  </si>
  <si>
    <t>ACETATO DE SÓDIO (3H2O) P.A. ACS</t>
  </si>
  <si>
    <t>CATMAT -381608 -  ACETATO DE SÓDIO, ASPECTO FÍSICO:FINO COMPOSTO DE CRISTAIS BRANCOS OU INCOLORES, FÓRMULA QUÍMICA:CHACOONA.3H20, MASSA MOLECULAR:136,08 G/MOL, PUREZA MÍNIMA DE 99%, CARACTERÍSTICA ADICIONAL:REAGENTE P.A. ACS, NÚMERO DE REFERÊNCIA QUÍMICA: CAS 6131-90-4. Fornecimento em frasco de 1000 g. Atenção: observar a unidade de medida do SIPAC e colocar múltiplo de 1000 g.</t>
  </si>
  <si>
    <t>https://www.orionprodutoscientificos.com.br/acetato-de-sodio-3h2o-cristal-pa-acs-1kg-exodo-cientifica?utm_source=Site&amp;utm_medium=GoogleMerchant&amp;utm_campaign=GoogleMerchant&amp;gad_source=4&amp;gclid=CjwKCAiAxaCvBhBaEiwAvsLmWB3K7n_UsmdhjDOLOdP2nEPwnkMJ5hrA9n2vEEcUAKM0C0VYbeX1_BoCVwwQAvD_BwE</t>
  </si>
  <si>
    <t>51.462.471/0001-52</t>
  </si>
  <si>
    <t>https://www.lojasynth.com/reagentes-analiticosmaterias-primas/reagentes-analiticosmaterias-primas/acetato-de-sodio-3h2o-p-a-a-c-s?variant_id=306972&amp;parceiro=2827&amp;gad_source=4&amp;gclid=CjwKCAiAxaCvBhBaEiwAvsLmWMPugpP1tlUPDIvpymTIBXANf7-M_yZbcaV7YVCLJyGD9FVqjYt_XhoCq8QQAvD_BwE</t>
  </si>
  <si>
    <t xml:space="preserve">LABSYNTH PRODUTOS PARA LABORATORIOS LTDA
</t>
  </si>
  <si>
    <t>https://www.lojalinklab.com.br/acetato-de-sodio-3h2o-cristal-pa-acs-500g-sem-controle?parceiro=1142</t>
  </si>
  <si>
    <t xml:space="preserve">CATMAT -380436 - ACETATO DE SÓDIO, ASPECTO FÍSICO: FINO COMPOSTO DE CRISTAIS BRANCOS OU INCOLORES, FÓRMULA QUÍMICA: CH3COONA ANIDRO, MASSA MOLECULAR: 82,03 G/MOL, PUREZA MÍNIMA DE 99%, CARACTERÍSTICA ADICIONAL: REAGENTE P.A. ACS, NÚMERO DE REFERÊNCIA QUÍMICA: CAS 127-09-3. FORNECIMENTO EM FRASCO DE 500 G. ATENÇÃO: OBSERVAR A UNIDADE DE MEDIDA DO SIPAC E COLOCAR MÚLTIPLO DE 500 G.
</t>
  </si>
  <si>
    <t>380436</t>
  </si>
  <si>
    <t>Foi adcionado uma cotação 1 kg, pois tem de 500 g com um preço menor.</t>
  </si>
  <si>
    <t>ACETATO DE SÓDIO ANIDRO P.A. ACS</t>
  </si>
  <si>
    <t>CATMAT -380436 - Acetato de sódio, aspecto físico: fino composto de cristais brancos ou incolores, fórmula química: CH3COONa anidro, massa molecular: 82,03 G/MOL, pureza mínima de 99%, característica adicional: reagente P.A. ACS, número de referência química: CAS 127-09-3. Fornecimento em frasco de 500 g. Atenção: observar a unidade de medida do SIPAC e colocar múltiplo de 500 g.</t>
  </si>
  <si>
    <t>13.767.262/0001-28</t>
  </si>
  <si>
    <t>https://www.lojaacscientifica.com.br/acetato-de-sodio-anidro-pa-acs?variation=13088430</t>
  </si>
  <si>
    <t>ACS Científica Eireli</t>
  </si>
  <si>
    <t>https://www.labimport.com.br/reagentes/acetato-de-sodio/acetato-de-sodio-anidro-pa-acs-500g-11599</t>
  </si>
  <si>
    <t>https://www.bclab.com.br/quimicos-reagentes/acetato-de-sodio-anidro-pa-acs-cientifica?variant_id=169</t>
  </si>
  <si>
    <t>ACETONA P.A. ACS. ACETONA, ASPECTO FÍSICO LÍQUIDO LÍMPIDO TRANSPARENTE, FÓRMULA QUÍMICA C3H6O, MASSA MOLECULAR 58,08, GRAU DE PUREZA PUREZA MÍNIMA DE 99,5%, CARACTERÍSTICA ADICIONAL REAGENTE P.A. ACS, NÚMERO DE REFERÊNCIA QUÍMICA CAS 67-64-1</t>
  </si>
  <si>
    <t>380786</t>
  </si>
  <si>
    <t>ACETONA P.A. ACS</t>
  </si>
  <si>
    <t>CATMAT -380786- Acetona, aspecto físico líquido límpido transparente, fórmula química C3H6O, massa molecular 58,08 g/mol, pureza mínima de 99,5%, característica adicional reagente P.A. ACS, número de referência química CAS 67-64-1. Entregue em frasco de vidro ambar.</t>
  </si>
  <si>
    <t>https://www.carvalhaes.net/produto/detalhes/SY01A1017.01.BJ/acetona-pa-acs-100-1l</t>
  </si>
  <si>
    <t>53.276.010/0001-10</t>
  </si>
  <si>
    <t>https://myhexis.com.br/index.php?option=com_movimentacao&amp;op=PROD&amp;task=detalhar&amp;produto_id=HX0178-00001</t>
  </si>
  <si>
    <t>Hexis Científica LTDA</t>
  </si>
  <si>
    <t>QHEMIS</t>
  </si>
  <si>
    <t>CATMAT -345903- ACETONA, ASPECTO FÍSICO LÍQUIDO LÍMPIDO TRANSPARENTE, FÓRMULA QUÍMICA C3H6O, MASSA MOLECULAR 58,08 G/MOL, GRAU DE PUREZA PUREZA MÍNIMA DE 99,8%, CARACTERÍSTICA ADICIONAL REAGENTE P/ UV-IR-HPLC-GPC, NÚMERO DE REFERÊNCIA QUÍMICA CAS 67-64-1</t>
  </si>
  <si>
    <t>345903</t>
  </si>
  <si>
    <t>Não encontrei cotações com esta descrição. Retirei as cotações antigas do sipac, mas  não cadastrei nova, por não haver</t>
  </si>
  <si>
    <t>ACETONA UV-IR-HPLC-GPC</t>
  </si>
  <si>
    <t>CATMAT -345903- ACETONA, ASPECTO FÍSICO LÍQUIDO LÍMPIDO TRANSPARENTE, FÓRMULA QUÍMICA C3H6O, MASSA MOLECULAR 58,08 G/MOL, GRAU DE PUREZA PUREZA MÍNIMA DE 99,8%, CARACTERÍSTICA ADICIONAL REAGENTE P/ UV-IR-HPLC-GPC, NÚMERO DE REFERÊNCIA QUÍMICA CAS 67-64-1. Entregue em frasco de vidro ambar.</t>
  </si>
  <si>
    <t>CATMAT -347148- ACETONITRILA, ASPECTO FÍSICO: LÍQUIDO INCOLOR, LÍMPIDO, ODOR DE ÉTER, PESO MOLECULAR: 41,05 G,MOL, FÓRMULA QUÍMICA: CH3CN, GRAU DE PUREZA: PUREZA MÍNIMA DE 99,9%, CARACTERÍSTICA ADICIONAL: REAGENTE P, HPLC, NÚMERO DE REFERÊNCIA QUÍMICA: CAS 75-05-8</t>
  </si>
  <si>
    <t>347148</t>
  </si>
  <si>
    <t>ACETONITRILA HPLC</t>
  </si>
  <si>
    <t>CATMAT -347148- Acetonitrila, aspecto físico: líquido incolor, límpido, odor de éter, peso molecular: 41,05 g/mol, fórmula química: CH3CN, pureza mínima de 99,9%, característica adicional: reagente para HPLC, número de referência química: CAS 75-05-8. Entregue em frasco de vidro ambar.</t>
  </si>
  <si>
    <t>sivaldo</t>
  </si>
  <si>
    <t>https://www.lojaacscientifica.com.br/acetonitrila-uvhplc-espectrosc?variation=14181760</t>
  </si>
  <si>
    <t>https://www.labimport.com.br/reagentes/acetonitrila/acetonitrila-uvhplc-espectoscopico-plus-1-l</t>
  </si>
  <si>
    <t>https://myhexis.com.br/index.php?option=com_movimentacao&amp;op=PROD&amp;task=detalhar&amp;produto_id=HX0179-00162</t>
  </si>
  <si>
    <t xml:space="preserve">ÁCIDO 3,5-DINITROSALICÍLICO, ASPECTO FÍSICO:PÓ BRANCO À AMARELO ESVERDEADO, INODORO, PESO MOLECULAR:228,12 G/MOL, FÓRMULA QUÍMICA:C7H4N2O7, GRAU DE PUREZA:PUREZA MÍNIMA DE 98%, CARACTERÍSTICA ADICIONAL:REAGENTE, NÚMERO DE REFERÊNCIA QUÍMICA:CAS 609-99-4
</t>
  </si>
  <si>
    <t>360267</t>
  </si>
  <si>
    <t>ÁCIDO 3,5-DINITROSALICÍLICO 98%</t>
  </si>
  <si>
    <t>CATMAT -360267- Ácido 3,5-dinitrosalicílico, aspecto físico pó branco a amarelo-esverdeado, inodoro, peso molecular 228,12 g/mol, fórmula química C7H4N2O7, pureza mínima de 98%, característica adicional reagente, número de referência química CAS 609-99-4. entregue em frasco com 25 g. Atenção: observar a unidade de medida do SIPAC e colocar múltiplo de 25 g.</t>
  </si>
  <si>
    <t>https://www.lojaacscientifica.com.br/acido-dinitrosalicilico-35-pa?variation=13088490</t>
  </si>
  <si>
    <t>https://www.orionprodutoscientificos.com.br/acido-dinitrosalicilico-35-pa-25g-exodo-cientifica?utm_source=Site&amp;utm_medium=GoogleMerchant&amp;utm_campaign=GoogleMerchant</t>
  </si>
  <si>
    <t>ÁCIDO ACÉTICO GLACIAL P.A. ACS. ÁCIDO ACÉTICO, ASPECTO FÍSICO: LÍQUIDO LÍMPIDO TRANSPARENTE,PESO MOLECULAR: 60,05 G/MOL, FÓRMULA QUÍMICA: C2H4O2, PUREZA MÍNIMA DE 99,5%,CARACTERÍSTICA ADICIONAL: GLACIAL, REAGENTE P.A. ACS, NÚMERO DE REFERÊNCIA QUÍMICA: CAS 64-19-7.</t>
  </si>
  <si>
    <t>412648</t>
  </si>
  <si>
    <t>ÁCIDO ACÉTICO GLACIAL P.A. ACS</t>
  </si>
  <si>
    <t>CATMAT -412648- Ácido acético, aspecto físico: líquido límpido transparente, peso molecular: 60,05 g/mol, fórmula química: C2H4O2, pureza mínima de 99,5%, característica adicional: glacial, reagente P.A. ACS, número de referência química: CAS 64-19-7. Entregue em frasco de vidro ambar.</t>
  </si>
  <si>
    <t>https://www.lojalinklab.com.br/acido-acetico-glacial-pa-acs-1l-controle-pc-e-pf?parceiro=1142</t>
  </si>
  <si>
    <t>https://www.carvalhaes.net/produto/detalhes/SY01A1019.01.BJ/acido-acetico-glacial-pa-acs-100-1l</t>
  </si>
  <si>
    <t>https://myhexis.com.br/index.php?option=com_movimentacao&amp;op=PROD&amp;task=detalhar&amp;produto_id=HX0269-00004</t>
  </si>
  <si>
    <t>ÁCIDO ASCÓRBICO, ASPECTO FÍSICO CRISTAL BRANCO A AMARELADO,
FÓRMULA QUÍMICA C6H8O6 (ÁCIDO L-ASCÓRBICO), PESO MOLECULAR 176,13 G/MOL, PUREZA MÍNIMA DE
99%, CARACTERÍSTICA ADICIONAL REAGENTE P.A., NÚMERO DE REFERÊNCIA QUÍMICA CAS 50-81-7,
FORNECIMENTO EM FRASCO DE 500 G
MÚLTIPLO DE 500 G.</t>
  </si>
  <si>
    <t>352951</t>
  </si>
  <si>
    <t>ÁCIDO ASCÓRBICO L(+) P.A.</t>
  </si>
  <si>
    <t>CATMAT -352951- Ácido ascórbico, aspecto físico cristal branco a amarelado, fórmula química C6H8O6 (ácido L-ascórbico), peso molecular 176,13 g/mol, pureza mínima de 99%, característica adicional reagente P.A., número de referência química CAS 50-81-7, fornecimento em Frasco de 500 g. Atenção: observar a unidade de medida do SIPAC e colocar múltiplo de 500 g.</t>
  </si>
  <si>
    <t>https://www.lojasynth.com/reagentes-analiticosmaterias-primas/reagentes-analiticosmaterias-primas/acido-ascorbico-l-p-a-a-c-s-vitamina-c?variant_id=1008&amp;parceiro=2827&amp;gad_source=4&amp;gclid=CjwKCAiAxaCvBhBaEiwAvsLmWA_safFuqQA8FP2iZgqvutaWUZnXa0jN4Wi2D_tIo2yFh-C_cxkVahoCcAgQAvD_BwE</t>
  </si>
  <si>
    <t>https://www.labimport.com.br/reagentes/acido-ascorbico/acido-ascorbico-l-pa-acs-vit-c-500g</t>
  </si>
  <si>
    <t>https://www.orionprodutoscientificos.com.br/acido-l-ascorbico-p-a-500-g-fabricante-neon?utm_source=Site&amp;utm_medium=GoogleMerchant&amp;utm_campaign=GoogleMerchant</t>
  </si>
  <si>
    <t xml:space="preserve">CATMAT -376296- ÁCIDO BENZOICO, ASPECTO FÍSICO PÓ BRANCO OU CRISTAL INCOLOR, COM ODOR FORTE, FÓRMULA QUÍMICA C6H5COOH, PESO MOLECULAR 122,12 G/MOL, PUREZA MÍNIMA DE 99,5%, CARACTERÍSTICA ADICIONAL REAGENTE P.A. ACS, NÚMERO DE REFERÊNCIA QUÍMICA CAS 65-85-0. ENTREGUE EM FRASCO DE 500 G. ATENÇÃO: OBSERVAR A UNIDADE DE MEDIDA DO SIPAC E COLOCAR MÚLTIPLO DE 500 G.
</t>
  </si>
  <si>
    <t>376296</t>
  </si>
  <si>
    <t>aumentado o tanhanho do frasco, pois para ter dois preços.</t>
  </si>
  <si>
    <t>ÁCIDO BENZOICO P.A. ACS</t>
  </si>
  <si>
    <t>CATMAT -376296- Ácido benzoico, aspecto físico pó branco ou cristal incolor, com odor forte, fórmula química C6H5COOH, peso molecular 122,12 g/mol, pureza mínima de 99,5%, característica adicional reagente P.A. ACS, número de referência química CAS 65-85-0. Entregue em frasco de 1000 g. Atenção: observar a unidade de medida do SIPAC e colocar múltiplo de 1000 g.</t>
  </si>
  <si>
    <t>https://www.carvalhaes.net/produto/detalhes/SY01A1024.01.AH/acido-benzoico-pa-acs-100-1kg</t>
  </si>
  <si>
    <t>https://www.lojalinklab.com.br/acido-benzoico-pa-acs-1kg-controle-pc-e-pf?parceiro=1142</t>
  </si>
  <si>
    <t xml:space="preserve">[ÁCIDO BÓRICO P.A. ACS] ÁCIDO BÓRICO, ASPECTO FÍSICO: CRISTAL INCOLOR OU PÓ, GRÂNULO BRANCO, INODORO, PESO MOLECULAR: 61,83 G/MOL, COMPOSIÇÃO QUÍMICA: H3BO3, PUREZA MÍNIMA DE 99,5%, CARACTERÍSTICA ADICIONAL: REAGENTE P.A. ACS, NÚMERO DE REFERÊNCIA QUÍMICA: CAS 10043-35-3. ENTREGUE EM FRASCO COM 500 G. ATENÇÃO: OBSERVAR A UNIDADE DE MEDIDA DO SIPAC E COLOCAR MÚLTIPLO DE 500 G.
</t>
  </si>
  <si>
    <t>426587</t>
  </si>
  <si>
    <t>ÁCIDO BÓRICO P.A. ACS</t>
  </si>
  <si>
    <t>CATMAT -426587- Ácido bórico, aspecto físico: cristal incolor ou pó, grânulo branco, inodoro, peso molecular: 61,83 g/mol, composição química: H3BO3, pureza mínima de 99,5%, característica adicional: reagente P.A. ACS, número de referência química: CAS 10043-35-3. Entregue em frasco com 500 g. Atenção: observar a unidade de medida do SIPAC e colocar múltiplo de 500 g.</t>
  </si>
  <si>
    <t>https://www.carvalhaes.net/produto/detalhes/SY01A1025.01.AG/acido-borico-pa-acs-100-500g</t>
  </si>
  <si>
    <t>CATMAT -415235- REAGENTE ANALÍTICO 2, ASPECTO FÍSICO: PÓ, COMPOSIÇÃO: ÁCIDO CALCONCARBOXÍLICO, CARACTERÍSTICAS ADICIONAIS: CAS 3737-95-9, FRASCO COM 25 G.</t>
  </si>
  <si>
    <t>415235</t>
  </si>
  <si>
    <t>ÁCIDO CALCONCARBOXÍLICO (CAL RED) FRACO 25 G</t>
  </si>
  <si>
    <t>CATMAT - 415235 - Ácido calconcarboxílico aspecto físico: pó, número de referência química CAS 3737-95-9, frasco com 25 g.</t>
  </si>
  <si>
    <t>FRASCOS</t>
  </si>
  <si>
    <t>https://www.labimport.com.br/acido-calcon-carboxilico-pa-25g</t>
  </si>
  <si>
    <t>https://www.orionprodutoscientificos.com.br/acido-calcon-carboxilico-pa-25g-exodo-cientifica?utm_source=Site&amp;utm_medium=GoogleMerchant&amp;utm_campaign=GoogleMerchant</t>
  </si>
  <si>
    <t>https://www.bclab.com.br/quimicos-reagentes/acido-calcon-carboxilico-pa-acs-cientifica?variant_id=2123</t>
  </si>
  <si>
    <t>CATMAT -351610- ÁCIDO CÍTRICO, ASPECTO FÍSICO CRISTAL INCOLOR, INODORO, SABOR ÁCIDO AGRADÁVEL, FÓRMULA QUÍMICA C6H8O7 ANIDRO, PESO MOLECULAR 192,13 G/MOL, PUREZA MÍNIMA DE 99,5%, CARACTERÍSTICA ADICIONAL REAGENTE P.A. ACS, NÚMERO DE REFERÊNCIA QUÍMICA CAS 77-92-9. FORNECIMENTO EM FRASCO DE 500 G. ATENÇÃO: OBSERVAR A UNIDADE DE MEDIDA DO SIPAC E COLOCAR MÚLTIPLO DE 500 G.</t>
  </si>
  <si>
    <t>351610</t>
  </si>
  <si>
    <t>frasco referência 1000 g</t>
  </si>
  <si>
    <t>ÁCIDO CÍTRICO ANIDRO P.A. ACS</t>
  </si>
  <si>
    <t>CATMAT -400559- Ácido cítrico, aspecto físico cristal incolor, inodoro, sabor ácido agradável, fórmula química C6H8O7 anidro, peso molecular 192,13 g/mol, pureza mínima de 99,5%, característica adicional reagente P.A. ACS, número de referência química CAS 77-92-9. Fornecimento em Frasco de 500 g. Atenção: observar a unidade de medida do SIPAC e colocar múltiplo de 500 g.</t>
  </si>
  <si>
    <t>https://www.labimport.com.br/reagentes/acido-citrico/acido-citrico-anidro-pa-acs-1000g</t>
  </si>
  <si>
    <t>https://www.lojasynth.com/reagentes-analiticosmaterias-primas/reagentes-analiticosmaterias-primas/acido-citrico-anidro-p-a-a-c-s?parceiro=2827&amp;srsltid=AfmBOorGTYbMr_sjup72roIg80a0G3PAvqyhQ_z4XYN7KV61rOGNu4vcRew&amp;variant_id=676</t>
  </si>
  <si>
    <t>https://www.bclab.com.br/quimicos-reagentes/acido-citrico-anidro-pa-acs-cientifica?variant_id=2133</t>
  </si>
  <si>
    <t xml:space="preserve">ACIDO CLORIDRICO PA 37%  1L
</t>
  </si>
  <si>
    <t>441630</t>
  </si>
  <si>
    <t>ÁCIDO CLORÍDRICO P.A. ACS</t>
  </si>
  <si>
    <t>CATMAT -347336- Ácido clorídrico, aspecto físico líquido límpido, incolor/amarelado, fumegante, peso molecular 36,46 g/mol, fórmula química HCl, teor mínimo de 37%, característica adicional reagente P.A. ACS, número de referência química CAS 7647-01-0. Entregue em frasco de vidro ambar.</t>
  </si>
  <si>
    <t>https://www.didaticasp.com.br/produto/acido-cloridrico-37-pa-acs-1l-cas-7647-01-0-pfssp-concentracao-37-densidade-119.html</t>
  </si>
  <si>
    <t>https://www.persoalab.com.br/produto/acido-cloridrico-p-a--acs</t>
  </si>
  <si>
    <t>CATMAT - 391953 - ÁCIDO ETILENODIAMINOTETRACÉTICO (EDTA), ASPECTO FÍSICO: PÓ BRANCO CRISTALINO, PESO MOLECULAR: 292,24 G,MOL, FÓRMULA QUÍMICA: C10H16N2O8 (ÁCIDO, ANIDRO), GRAU DE PUREZA: PUREZA MÍNIMA DE 99%, CARACTERÍSTICA ADICIONAL: REAGENTE P.A., NÚMERO DE REFERÊNCIA QUÍMICA: CAS 60-00-4. FORNECIMENTO DE FRASCO DE 500 G.</t>
  </si>
  <si>
    <t>391953</t>
  </si>
  <si>
    <t>ÁCIDO ETILENODIAMINOTETRACÉTICO (EDTA) P.A.</t>
  </si>
  <si>
    <t>CATMAT - 391953 - Ácido etilenodiaminotetracético (edta), aspecto físico: pó branco cristalino, peso molecular: 292,24 g/mol, fórmula química: C10H16N2O8 (ácido, anidro), pureza mínima de 99%, característica adicional: reagente P.A., número de referência química: CAS 60-00-4. Fornecimento em Frasco de 500 g. Atenção: observar a unidade de medida do SIPAC e colocar múltiplo de 500 g.</t>
  </si>
  <si>
    <t>https://www.lojaacscientifica.com.br/edta-acido-pa?variation=13089106</t>
  </si>
  <si>
    <t>https://www.lojasynth.com/reagentes-analiticosmaterias-primas/reagentes-analiticosmaterias-primas/e-d-t-a-acido-p-a?parceiro=2827&amp;srsltid=AfmBOoo8OC2UnGZqZ5GQlvm9UNqaZ7bBEdvbdgZmRJkzQ093MQr5kV-Pe0k&amp;variant_id=302785</t>
  </si>
  <si>
    <t>https://www.orionprodutoscientificos.com.br/edta-acido-pa-500g-exodo-cientifica</t>
  </si>
  <si>
    <t>CATMAT - 352687 - ÁCIDO FLUORÍDRICO, ASPECTO FÍSICO: LÍQUIDO INCOLOR, ODOR ÁCIDO, PESO MOLECULAR: 20,01 G,MOL, FÓRMULA QUÍMICA: HF, TEOR DE PUREZA: TEOR MÍNIMO DE 40%, CARACTERÍSTICA ADICIONAL: REAGENTE P.A., NÚMERO DE REFERÊNCIA QUÍMICA: CAS 7664-39-3</t>
  </si>
  <si>
    <t>352687</t>
  </si>
  <si>
    <t>ÁCIDO FLUORÍDRICO P.A.</t>
  </si>
  <si>
    <t>CATMAT - 352687 - Ácido fluorídrico, aspecto físico: líquido incolor, odor ácido, peso molecular: 20,01 g/mol, fórmula química: HF, teor mínimo de 40%, característica adicional: reagente P.A., número de referência química: CAS 7664-39-3.</t>
  </si>
  <si>
    <t>https://www.lojalinklab.com.br/acido-fluoridrico-48-50-pa-1l-controle-eb-e-pc?parceiro=1142</t>
  </si>
  <si>
    <t>ÁCIDO FOSFÓRICO, ASPECTO FÍSICO LÍQUIDO INCOLOR, INODORO, FÓRMULA QUÍMICA H3PO4, PESO MOLECULAR 98,00 G/MOL, PUREZA MÍNIMA DE 85%, CARACTERÍSTICA ADICIONAL REAGENTE P.A., NÚMERO DE REFERÊNCIA QUÍMICA CAS 7664-38-2. ENTREGUE EM FRASCO DE
VIDRO ÂMBAR.</t>
  </si>
  <si>
    <t>352710</t>
  </si>
  <si>
    <t>ÁCIDO FOSFÓRICO P.A. 85%</t>
  </si>
  <si>
    <t>CATMAT -352710- Ácido fosfórico, aspecto físico líquido incolor, inodoro, fórmula química H3PO4, peso molecular 98,00 g/mol, pureza mínima de 85%, característica adicional reagente P.A., número de referência química CAS 7664-38-2. Entregue em frasco de vidro ambar.</t>
  </si>
  <si>
    <t>https://www.labimport.com.br/reagentes/acido-fosforico/acido-fosforico-orto-85-pa-acs-1-l-11623</t>
  </si>
  <si>
    <t>https://www.lojalinklab.com.br/acido-fosforico-orto-85-pa-acs-1l-controle-pc?parceiro=1142</t>
  </si>
  <si>
    <t>https://myhexis.com.br/index.php?option=com_movimentacao&amp;op=PROD&amp;task=detalhar&amp;produto_id=HX0178-00002</t>
  </si>
  <si>
    <t>CATMAT -346505- ÁCIDO GÁLICO COMPOSIÇÃO QUÍMICA: C6H2(OH)3COOH ANIDRO , ASPECTO FÍSICO: FINO CRISTAL BRANCO, HIGROSCÓPICO, INODORO , PUREZA MÍNIMA: PUREZA MÍNIMA DE 97% , PESO MOLECULAR: 170,12 G/MOL, CARACTERÍSTICA ADICIONAL: REAGENTE, NÚMERO DE REFERÊNCIA QUÍMICA: CAS 149-91-7, FORNECIMENTO EM FRASCO DE 100 G. ATENÇÃO: OBSERVAR A UNIDADE DE MEDIDA DO SIPAC E COLOCAR MÚLTIPLO DE 100 G.</t>
  </si>
  <si>
    <t>346505</t>
  </si>
  <si>
    <t>ACIDO GÁLICO (H2O) P.A.</t>
  </si>
  <si>
    <t>CATMAT -346506- Ácido gálico composição química: C6H2(OH)3COOH.H2O aspecto físico: pó ou fino cristal branco ou bege, pureza mínima de 98% peso molecular: 188,14 g/mol, característica adicional: reagente P.A. número de referência química: CAS 5995-86-8, fornecimento em frasco de 100 g. Atenção: observar a unidade de medida do SIPAC e colocar múltiplo de 100 g.</t>
  </si>
  <si>
    <t>https://www.didaticasp.com.br/produto/acido-galico-monohdratado-pa-acs-100g-cas-5995-86-8.html</t>
  </si>
  <si>
    <t>https://www.interjet.com.br/acido-galico-monohidratado-paacs-100-g</t>
  </si>
  <si>
    <t xml:space="preserve">3011000104062 - ÁCIDO INDOL-3-BUTÍRICO, ASPECTO FÍSICO CRISTAL INCOLOR À LEVEMENTE ESBRANQUIÇADO, INODORO, FÓRMULA QUÍMICA C12H13NO2, PESO MOLECULAR 203,24, TEOR DE PUREZA PUREZA MÍNIMA DE 99%, CARACTERÍSTICA ADICIONAL REAGENTE, NÚMERO DE REFERÊNCIA QUÍMICA CAS 133-32-4 FRASCO COM 5G
</t>
  </si>
  <si>
    <t>352901</t>
  </si>
  <si>
    <t>ÁCIDO INDOL-3-BUTÍRICO P.A.</t>
  </si>
  <si>
    <t xml:space="preserve"> CATMAT -352901- ÁCIDO INDOL-3-BUTÍRICO, ASPECTO FÍSICO: CRISTAL INCOLOR À LEVEMENTE ESBRANQUIÇADO, INODORO, FÓRMULA QUÍMICA: C12H13NO2, PESO MOLECULAR: 203,24 G,MOL, TEOR DE PUREZA: PUREZA MÍNIMA DE 99%, CARACTERÍSTICA ADICIONAL: REAGENTE P.A., NÚMERO DE REFERÊNCIA QUÍMICA: CAS 133-32-4, fornecimento em frasco de 5 g. Atenção: observar a unidade de medida do SIPAC e colocar múltiplo de 5 g.</t>
  </si>
  <si>
    <t>https://www.orionprodutoscientificos.com.br/acido-indol-3-butirico-p-a-uso-como-reagente-analitico-5-g-fabricante-neon?utm_source=Site&amp;utm_medium=GoogleMerchant&amp;utm_campaign=GoogleMerchant&amp;gad_source=1&amp;gclid=CjwKCAiA6KWvBhAREiwAFPZM7khn1pM-9n5P4LdnOV43tAUtv3PbDefsQ88eRloxslG4Mu38ucTCLhoCYRUQAvD_BwE</t>
  </si>
  <si>
    <t>https://www.didaticasp.com.br/produto/acido-indol-3-butirico-pa-5g-cas-133-32-4.html</t>
  </si>
  <si>
    <t>CATMAT 360205 - ÁCIDO LÁTICO, ASPECTO FÍSICO LÍQUIDO XAROPOSO, LEVEMENTE AMARELADO, INODORO, FÓRMULA QUÍMICA C3H6O3 (ÁCIDO LÁTICO), PESO MOLECULAR 90,08 G/MOL, TEOR MÍNIMO DE 85%, CARACTERÍSTICA ADICIONAL REAGENTE P.A., NÚMERO DE REFERÊNCIA QUÍMICA CAS 50-21-5.</t>
  </si>
  <si>
    <t>360205</t>
  </si>
  <si>
    <t>­ÁCIDO LÁTICO P.A.</t>
  </si>
  <si>
    <t>CATMAT 360205 - Ácido lático, aspecto físico líquido xaroposo, levemente amarelado, inodoro, fórmula química C3H6O3 (ácido lático), peso molecular 90,08 g/mol, teor mínimo de 85%, característica adicional reagente P.A., número de referência química CAS 50-21-5. Entregue em frasco de vidro ambar.</t>
  </si>
  <si>
    <t>https://www.didaticasp.com.br/produto/acido-l-latico-85-pa-1l-cas-79-33-4.html</t>
  </si>
  <si>
    <t>https://www.labimport.com.br/reagentes/acido-latico/acido-latico-85-pa-acs-1l-11629</t>
  </si>
  <si>
    <t>https://www.lojasynth.com/reagentes-analiticosmaterias-primas/reagentes-analiticosmaterias-primas/acido-lactico-l-p-a-a-c-s</t>
  </si>
  <si>
    <t xml:space="preserve">[ÁCIDO MALÉICO (CIS-BUTENODIOICO)] ÁCIDO MALEICO (CIS-BUTENODIOICO), ASPECTO FÍSICO: CRISTAL BRANCO, ODOR CARACTERÍSTICO, FÓRMULA QUÍMICA: C4H4O4, PESO MOLECULAR: 116,08 G,MOL, TEOR DE PUREZA: PUREZA MÍNIMA DE 99%, NÚMERO DE REFERÊNCIA QUÍMICA: CAS 110-16-7, FORNECIMENTO DE FRASCO DE 500G
</t>
  </si>
  <si>
    <t>354423</t>
  </si>
  <si>
    <t>ÁCIDO MALÉICO (CIS-BUTENODIOICO)</t>
  </si>
  <si>
    <t>CATMAT - 354423 - Ácido maleico (cis-butenodioico), aspecto físico: cristal branco, odor característico, fórmula química: c4h4o4, peso molecular: 116,08 g,mol, teor de pureza: pureza mínima de 99%, número de referência química: cas 110-16-7, Fornecimento de Frasco de 500 g</t>
  </si>
  <si>
    <t>https://www.lojaacscientifica.com.br/anidrido-maleico-acido-maleico-ps-embalagem-500g</t>
  </si>
  <si>
    <t>https://www.labimport.com.br/reagentes/acido-maleico/acido-maleico-ps-500g</t>
  </si>
  <si>
    <t>https://www.orionprodutoscientificos.com.br/acido-maleico-500-g-fabricante-neon?utm_source=Site&amp;utm_medium=GoogleMerchant&amp;utm_campaign=GoogleMerchant</t>
  </si>
  <si>
    <t xml:space="preserve">[ÁCIDO MALÔNICO] ÁCIDO MALÔNICO, ASPECTO FÍSICO: PÓ BRANCO CRISTALINO, PESO MOLECULAR: 104,06 G,MOL, FÓRMULA QUÍMICA: CH2(COOH)2, GRAU DE PUREZA: PUREZA MÍNIMA DE 99%, CARACTERÍSTICA ADICIONAL: REAGENTE, NÚMERO DE REFERÊNCIA QUÍMICA: CAS 141-82-2, ENTREGUE EM FRASCO COM 100G.
</t>
  </si>
  <si>
    <t>357778</t>
  </si>
  <si>
    <t>ÁCIDO MALÔNICO P.A.</t>
  </si>
  <si>
    <t>CATMAT -357778- Ácido malônico, aspecto físico: pó branco cristalino, peso molecular: 104,06 g/mol, fórmula química: CH2(COOH)2, pureza mínima de 98%, característica adicional: número de referência química: CAS 141-82-2, entregue em frasco com 100 g. Atenção: observar a unidade de medida do SIPAC e colocar múltiplo de 100 g.</t>
  </si>
  <si>
    <t>https://www.sigmaaldrich.com/BR/pt/product/sial/m1296</t>
  </si>
  <si>
    <t>https://www.didaticasp.com.br/produto/acido-malonico-100g-cas-141-82-2.html</t>
  </si>
  <si>
    <t>https://www.orionprodutoscientificos.com.br/acido-malonico-pa-100g-exodo-cientifica</t>
  </si>
  <si>
    <t>ÁCIDO NÍTRICO</t>
  </si>
  <si>
    <t>347320</t>
  </si>
  <si>
    <t>ÁCIDO NÍTRICO P.A. ACS</t>
  </si>
  <si>
    <t>CATMAT -347320- Ácido nítrico, aspecto físico líquido límpido, incolor a amarelado, odor sufocante, fórmula química HNO3, peso molecular 63,01, teor mínimo 65%, característica adicional reagente P.A. ACS, número de referência química CAS 7697-37-2. Entregue em frasco de vidro ambar.</t>
  </si>
  <si>
    <t>https://docs.google.com/spreadsheets/d/1LpGqklqM1JQoULWIauj1CrRgBCYMxd6yJ6dnXxkSWnw/edit#gid=1397891914</t>
  </si>
  <si>
    <t xml:space="preserve">[ÁCIDO OXÁLICO (2H2O) P.A. ACS] ÁCIDO OXÁLICO, ASPECTO FÍSICO: CRISTAL OU PÓ BRANCO CRISTALINO HIGROSCÓPICO, PESO MOLECULAR: 126,07 G/MOL, FÓRMULA QUÍMICA: C2H2O4.2H2O, PUREZA MÍNIMA DE 99,5%, CARACTERÍSTICA ADICIONAL: REAGENTE P.A. ACS, NÚMERO DE REFERÊNCIA QUÍMICA: CAS 6153-56-6, ENTREGUE EM FRASCO COM 500 G. ATENÇÃO: OBSERVAR A UNIDADE DE MEDIDA DO SIPAC E COLOCAR MÚLTIPLO DE 500 G.
</t>
  </si>
  <si>
    <t xml:space="preserve">347156	</t>
  </si>
  <si>
    <t>ÁCIDO OXÁLICO (2H2O) P.A. ACS</t>
  </si>
  <si>
    <t>CATMAT - 347156 - Ácido oxálico, aspecto físico: cristal ou pó branco cristalino higroscópico, peso molecular: 126,07 g/mol, fórmula química: C2H2O4.2H2O, pureza mínima de 99,5%, característica adicional: reagente P.A. ACS, número de referência química: CAS 6153-56-6, entregue em frasco com 500 g. Atenção: observar a unidade de medida do SIPAC e colocar múltiplo de 500 g.</t>
  </si>
  <si>
    <t>https://www.lojasynth.com/reagentes-analiticosmaterias-primas/reagentes-analiticosmaterias-primas/acido-oxalico-2h2o-p-a-a-c-s?variant_id=301748</t>
  </si>
  <si>
    <t>https://www.lojaprolab.com.br/acido-oxalico-cristal-2h2o-pa-acs-80998</t>
  </si>
  <si>
    <t>https://www.lojanetlab.com.br/reagentes/pa/acido-oxalico-cristal-2h2o-pa-acs</t>
  </si>
  <si>
    <t>ÁCIDO PERCLÓRICO, ASPECTO FÍSICO LÍQUIDO INCOLOR OU LEVEMENTE AMARELADO, PESO MOLECULAR 100,46 G/MOL, FÓRMULA QUÍMICA HCLO4, GRAU DE PUREZA
CONCENTRAÇÃO MÍNIMA DE 70%, CARACTERÍSTICA ADICIONAL REAGENTE P.A., NÚMERO DE REFERÊNCIA
QUÍMICA CAS 7601-90-3. ENTREGUE EM FRASCO DE VIDRO AMBA</t>
  </si>
  <si>
    <t>366457</t>
  </si>
  <si>
    <t>ÁCIDO PERCLÓRICO P.A.</t>
  </si>
  <si>
    <t>CATMAT -366457- Ácido perclórico, aspecto físico líquido incolor ou levemente amarelado, peso molecular 100,46 g/mol, fórmula química HCLO4, grau de pureza concentração mínima de 70%, característica adicional reagente P.A., número de referência química CAS 7601-90-3. Entregue em frasco de vidro ambar.</t>
  </si>
  <si>
    <t>https://www.lojalinklab.com.br/acido-perclorico-70-pa-acs-1l-controle-eb-e-pc?parceiro=1142</t>
  </si>
  <si>
    <t>CATMAT -355518- CORANTE, TIPO: CONJUNTO COLORAÇÃO ÁCIDO PERIÓDICO, SCHIFF, ASPECTO FÍSICO: LÍQUIDO, COMPOSIÇÃO: SOLUÇÃO ÁCIDO PERIÓDICO, REAGENTE SCHIFF, COMPONENTES ADICIONAIS: HEMATOXILIN. KIT DE COLORAÇÃO SUFICIENTE PARA, NO MÍNIMO, 60 COLORAÇÕES.</t>
  </si>
  <si>
    <t>355518</t>
  </si>
  <si>
    <t>ÁCIDO PERIÓDICO SCHIFF (PAS)</t>
  </si>
  <si>
    <t>CATMAT -355518- Corante, tipo: conjunto coloração ácido periódico, schiff, aspecto físico: líquido, composição: solução ácido periódico, reagente schiff, componentes adicionais: hematoxilin. Kit de coloração suficiente para, no mínimo, 60 colorações.</t>
  </si>
  <si>
    <t>CONJUNTOS</t>
  </si>
  <si>
    <t>https://www.casalab.com.br/produtos/70/6625_</t>
  </si>
  <si>
    <t>CATMAT -389270- ÁCIDO PROPIÔNICO, PESO MOLECULAR 74,08 G/MOL, ASPECTO FÍSICO LÍQUIDO LÍMPIDO, INCOLOR, FÓRMULA QUÍMICA C3H6O2, PUREZA MÍNIMA DE 99%, CARACTERÍSTICA ADICIONAL REAGENTE P.A., NÚMERO DE REFERÊNCIA QUÍMICA: CAS 79-09-4. ENTREGUE EM FRASCO DE VIDRO AMBAR.</t>
  </si>
  <si>
    <t>389270</t>
  </si>
  <si>
    <t>ÁCIDO PROPIÔNICO P.A.</t>
  </si>
  <si>
    <t>CATMAT -389270- Ácido propiônico, peso molecular 74,08 g/mol, aspecto físico líquido límpido, incolor, fórmula química C3H6O2, pureza mínima de 99%, característica adicional reagente P.A., número de referência química: CAS 79-09-4. Entregue em frasco de vidro ambar.</t>
  </si>
  <si>
    <t>https://www.acsreagentes.com.br/4fhpk4xmt-acido-peracetico-pa-1000-ml-proquimios</t>
  </si>
  <si>
    <t>[ÁCIDO SALICÍLICO P.A.] ÁCIDO SALICÍLICO, ASPECTO FÍSICO: PÓ CRISTALINO BRANCO, PESO MOLECULAR: 138,12 G,MOL, FÓRMULA QUÍMICA: HO.C6H4.COOH ANIDRO, GRAU DE PUREZA: PUREZA MÍNIMA DE 99%, CARACTERÍSTICA ADICIONAL: REAGENTE P.A., NÚMERO DE REFERÊNCIA QUÍMICA: CAS 69-72-7, ENTREGUE EM FRASCO DE 100G. ATENÇÃO: OBSERVAR A UNIDADE DE MEDIDA DO SIPAC E COLOCAR MÚLTIPLO DE 100 G.</t>
  </si>
  <si>
    <t>366458</t>
  </si>
  <si>
    <t>alteração do tamanho do frasco para 250 g que é o comum.</t>
  </si>
  <si>
    <t>ÁCIDO SALICÍLICO P.A.</t>
  </si>
  <si>
    <t>CATMAT -366458- Ácido salicílico, aspecto físico: pó cristalino branco, peso molecular: 138,12 g,mol, fórmula química: ho.c6h4.cooh anidro, grau de pureza: pureza mínima de 99%, característica adicional: reagente p.a., número de referência química: cas 69-72-7, entregue em frasco de 250 g. Atenção: observar a unidade de medida do SIPAC e colocar múltiplo de 250 g.</t>
  </si>
  <si>
    <t>https://www.eplab.com.br/acido-salicilico-pa-250g-acs?gad_source=1&amp;gclid=CjwKCAiAi6uvBhADEiwAWiyRdsBG09PXf4FEPvOLnM39DOiB8UmeZuGABuFqVzisfWGMG3yTRLY6kRoCtRQQAvD_BwE</t>
  </si>
  <si>
    <t>https://www.lojasynth.com/reagentes-analiticosmaterias-primas/reagentes-analiticosmaterias-primas/acido-salicilico-p-a?variant_id=301050</t>
  </si>
  <si>
    <t>https://www.lojaacscientifica.com.br/acido-salicilico-pa?variation=13088578</t>
  </si>
  <si>
    <t xml:space="preserve">[ÁCIDO SULFÚRICO P.A. ACS] ÁCIDO SULFÚRICO, ASPECTO FÍSICO: LÍQUIDO INCOLOR, INODORO, VISCOSO, CRISTALINO, FÓRMULA QUÍMICA: H2SO4, MASSA MOLECULAR: 98,09 G/MOL, PUREZA MÍNIMA DE 95%, CARACTERÍSTICA ADICIONAL: REAGENTE P.A. ACS, NÚMERO DE REFERÊNCIA QUÍMICA: CAS 7664-93-9. ENTREGUE EM FRASCO DE VIDRO AMBAR.
</t>
  </si>
  <si>
    <t>380384</t>
  </si>
  <si>
    <t>ÁCIDO SULFÚRICO P.A. ACS</t>
  </si>
  <si>
    <t>CATMAT -380384- Ácido sulfúrico, aspecto físico: líquido incolor, inodoro, viscoso, cristalino, fórmula química: H2SO4, massa molecular: 98,09 g/mol, pureza mínima de 95%, característica adicional: reagente P.A. ACS, número de referência química: CAS 7664-93-9. Entregue em frasco de vidro ambar.</t>
  </si>
  <si>
    <t>https://www.lojalinklab.com.br/acido-sulfurico-95-98-pa-acs-1l-controle-pc-e-pf?parceiro=1142</t>
  </si>
  <si>
    <t>https://myhexis.com.br/index.php?option=com_movimentacao&amp;op=PROD&amp;task=detalhar&amp;produto_id=HX0269-00008</t>
  </si>
  <si>
    <t>ÁCIDO TÂNICO ÁCIDO TÂNICO, ASPECTO FÍSICO: PÓ MARROM AMARELADO, FÓRMULA QUÍMICA: C76H52O46, PESO MOLECULAR: 1701,22 G,MOL, GRAU DE PUREZA: PUREZA MÍNIMA DE 98%, NÚMERO DE REFERÊNCIA QUÍMICA: CAS 1401-55-4</t>
  </si>
  <si>
    <t>366465</t>
  </si>
  <si>
    <r>
      <rPr>
        <color rgb="FF0000FF"/>
      </rPr>
      <t xml:space="preserve">Remoção da pureza, e inclusão de P.A. motivo na sigmaaldrich não informa o a pureza. </t>
    </r>
    <r>
      <rPr>
        <color rgb="FF1155CC"/>
        <u/>
      </rPr>
      <t>https://www.sigmaaldrich.com/specification-sheets/364/405/403040-BULK.pdf.</t>
    </r>
    <r>
      <rPr>
        <color rgb="FF0000FF"/>
      </rPr>
      <t xml:space="preserve"> Informação de tamanho de frasco adicionada no SIPAC</t>
    </r>
  </si>
  <si>
    <t>ÁCIDO TÂNICO P.A.</t>
  </si>
  <si>
    <t>CATMAT -366465- Ácido tânico, aspecto físico: pó marrom amarelado, fórmula química: c76h52o46, peso molecular: 1701,22 g,mol, reagente P.A., número de referência química: CAS 1401-55-4. entregue em frasco com 250 g. Atenção: observar a unidade de medida do SIPAC e colocar múltiplo de 250 g.</t>
  </si>
  <si>
    <t>https://www.labimport.com.br/reagentes/acido-tanico/acido-tanico-pa-250g-11649</t>
  </si>
  <si>
    <t>https://quimisulsc.com.br/produto/acido-tanico-pa-250g/?srsltid=AfmBOorQ1OHFedWA3kDMeNEfss1TTyhgfyqrHYekXZeoVNewZFkluxTYLAc</t>
  </si>
  <si>
    <t>https://www.laderquimica.com.br/acido-tanico-pa-250g-dinamica?utm_source=Site&amp;utm_medium=GoogleMerchant&amp;utm_campaign=GoogleMerchant&amp;srsltid=AfmBOoqnZI9WuQbJ41Z8kZTjJT4n0DQEj_Lkll2ltl8Y0vZ2dPcu8Uc-pNw</t>
  </si>
  <si>
    <t xml:space="preserve">ÁCIDO TIOBARBITÚRICO
</t>
  </si>
  <si>
    <t>incluindo P.A. e forma de entregra frasco 25 g</t>
  </si>
  <si>
    <t>ÁCIDO TIOBARBITÚRICO P.A.</t>
  </si>
  <si>
    <t>CATMAT -376424- Ácido Tiobarbitúrico Aspecto Físico: Pó Esbranquiçado A Levemente Amarelado, Fórmula Química: C4H4O2N2S (Ácido 2-Tiobarbitúrico), Peso Molecular: 144,15 G/MOL, Grau De Pureza: Pureza Mínima De 98%, reagente P.A., Número De Referência Química: Cas 504-17-6. entregue em frasco com 25 g. Atenção: observar a unidade de medida do SIPAC e colocar múltiplo de 25 g.</t>
  </si>
  <si>
    <t>https://www.labimport.com.br/reagentes/acido-tiobarbiturico/acido-tiobarbiturico-pa-25g</t>
  </si>
  <si>
    <t>https://www.orionprodutoscientificos.com.br/acido-tiobarbiturico-pa-25g-exodo-cientifica</t>
  </si>
  <si>
    <t>https://www.lojaacscientifica.com.br/acido-tiobarbiturico-pa?variation=13088598</t>
  </si>
  <si>
    <t>CATMAT - 412736 - ÁCIDO TRICLOROACÉTICO, ASPECTO FÍSICO: CRISTAIS BRANCOS, FÓRMULA QUÍMICA: CCL3COOH, MASSA MOLECULAR: 163,39 G/MOL, PUREZA MÍNIMA DE 99%, CARACTERÍSTICA ADICIONAL: REAGENTE P.A. ACS, NÚMERO DE REFERÊNCIA QUÍMICA: CAS 76-03-9, ENTREGUE EM FRASCO DE 500 G. ATENÇÃO: OBSERVAR A UNIDADE DE MEDIDA DO SIPAC E COLOCAR MÚLTIPLO DE 500 G.</t>
  </si>
  <si>
    <t>412736</t>
  </si>
  <si>
    <t>ÁCIDO TRICLOROACÉTICO P.A. ACS</t>
  </si>
  <si>
    <t>CATMAT - 412736 - Ácido tricloroacético, aspecto físico: cristais brancos, fórmula química: CCl3COOH, massa molecular: 163,39 g/mol, pureza mínima de 99%, característica adicional: reagente P.A. ACS, número de referência química: CAS 76-03-9, entregue em frasco de 500 g. Atenção: observar a unidade de medida do SIPAC e colocar múltiplo de 500 g.</t>
  </si>
  <si>
    <t>https://www.labimport.com.br/reagentes/acido-tricloroacetico/acido-tricloroacetico-pa-acs-500g</t>
  </si>
  <si>
    <t>https://www.lojaacscientifica.com.br/acido-tricloroacetico-pa-acs?variation=13088605</t>
  </si>
  <si>
    <t>https://www.ciruvix.com.br/acido-tricloroacetico-pa-acs-500g-dinamica</t>
  </si>
  <si>
    <t>CATMAT -374752- SAFRANINA, COMPOSIÇÃO QUÍMICA C20H19CLN4, ASPECTO FÍSICO PÓ VERMELHO PARDO, INODORO, PESO MOLECULAR 350,85, ABSORBÂNCIA MÁXIMA 530-535 NM, ÍNDICE INTERNACIONAL DE CLORANTE CI 50240. ENTREGUE EM FRASCO COM 25 G. ATENÇÃO: OBSERVAR A UNIDADE DE MEDIDA DO SIPAC E COLOCAR MÚLTIPLO DE 25 G.</t>
  </si>
  <si>
    <t>374752</t>
  </si>
  <si>
    <t>SAFRANINA (CI 50240)</t>
  </si>
  <si>
    <t xml:space="preserve">CATMAT -374752- Safranina, composição química C20H19ClN4, aspecto físico pó vermelho pardo, inodoro, peso molecular 350,85, absorbância máxima 530-535 nm, índice internacional de clorante CI 50240. Entregue em frasco com 25 g. Atenção: observar a unidade de medida do SIPAC e colocar múltiplo de 25 g. </t>
  </si>
  <si>
    <t>https://www.labimport.com.br/reagentes/safranina/safranina-ci-50240-25g</t>
  </si>
  <si>
    <t>https://www.orionprodutoscientificos.com.br/safranina-t-p-a-c-i-50240-25-g-fabricante-neon</t>
  </si>
  <si>
    <t>https://www.lojaacscientifica.com.br/safranina-ci-50240?variation=14180525</t>
  </si>
  <si>
    <t xml:space="preserve">21000000058 - ÁGAR ÁGAR BACTERIOLÓGICO 500G
</t>
  </si>
  <si>
    <t>397085</t>
  </si>
  <si>
    <t>ÁGAR BACTERIOLÓGICO (ÁGAR ÁGAR) FRASCO 500G</t>
  </si>
  <si>
    <t>CATMAT -387015- ÁGAR BACTERIOLÓGICO (ÁGAR ÁGAR), ASPECTO FÍSICO: PÓ. EM FRASCOS COM 500 G</t>
  </si>
  <si>
    <t>https://www.forlabexpress.com.br/agar-bacteriologico-frasco-500g-kasvi/?gad_source=4&amp;gclid=CjwKCAiAi6uvBhADEiwAWiyRdvwhM1hPJjHBbTQVtM8sUvvGpjaSG-tVnWHRE3iPL4gy-eD9OWkPKhoC8eoQAvD_BwE</t>
  </si>
  <si>
    <t>https://www.lojaprolab.com.br/agar-bacteriologico-80390?utm_source=google&amp;utm_medium=feed&amp;utm_campaign=shopping&amp;gad_source=4&amp;gclid=CjwKCAiAi6uvBhADEiwAWiyRdrIbUTwhGJkYQjgHKn0hW7LfioAjoitZTKQfGzfdIibh4ofranOlBBoCA10QAvD_BwE</t>
  </si>
  <si>
    <t>https://www.eplab.com.br/laboratorio/consumo/meio-de-cultura/agar-bacteriologico-frasco-500-g-k25-1800?gad_source=4&amp;gclid=CjwKCAiAi6uvBhADEiwAWiyRdtAEadNh7WiR5T-CsFooBGEbJerZzgpjl7NWMCi7tsBFXWxLr8n1qxoCeH0QAvD_BwE</t>
  </si>
  <si>
    <t xml:space="preserve">AGAR BAIRD PARKER - DESCRIÇÃO: MEIO DE CULTURA, TIPO: ÁGAR BAIRD PARKER, APRESENTAÇÃO: PÓ. FRASCO COM 500 G
</t>
  </si>
  <si>
    <t>326289</t>
  </si>
  <si>
    <t>AGAR BAIRD PARKER 500 G</t>
  </si>
  <si>
    <t>CATMAT - 326289 Descrição: Meio de cultura, tipo: ágar baird parker, apresentação: pó. Frasco com 500 g</t>
  </si>
  <si>
    <t>https://www.cheeselab.com.br/agar-baird-parker-merck---500g/p?idsku=282&amp;gad_source=4&amp;gclid=CjwKCAiAi6uvBhADEiwAWiyRdnVpo8VDcMIYSyc5nPcScJXORDwx_E17kPBxiobbdrsJgkeZD8kieBoCPQoQAvD_BwE</t>
  </si>
  <si>
    <t>https://www.neobioshop.com.br/meios-de-cultura/base-de-agar-baird-parker-titan-frasco-500g?gad_source=4&amp;gclid=CjwKCAiAi6uvBhADEiwAWiyRdghEy3hCsutiB9PD7RTXMVJeZ8SmNBPwLWZDGHdPSirLRdkeFYlUVRoC4z4QAvD_BwE</t>
  </si>
  <si>
    <t>https://www.lojaprolab.com.br/agar-baird-parker-80391?utm_source=google&amp;utm_medium=feed&amp;utm_campaign=shopping&amp;gad_source=4&amp;gclid=CjwKCAiAi6uvBhADEiwAWiyRdrzFQPT7MB0yeoSpl0RygsMo0JoUaJ6E4j0OcSTC1pAf_At3Fmad3hoCa0EQAvD_BwE</t>
  </si>
  <si>
    <t>ÁGAR BASE COLUMBIA FRASCO 500 G	- MEIO DE CULTURA, TIPO: ÁGAR BASE COLUMBIA, APRESENTAÇÃO: PÓ, FRASCO 500 G</t>
  </si>
  <si>
    <t>326286</t>
  </si>
  <si>
    <t>ÁGAR BASE COLUMBIA FRASCO 500 G</t>
  </si>
  <si>
    <t>CATMAT -326286- Meio de cultura, tipo: ágar base Columbia, apresentação: pó, frasco 500 g.</t>
  </si>
  <si>
    <t>https://www.forlabexpress.com.br/agar-base-columbia-500g-himedia/?gad_source=4&amp;gclid=CjwKCAiAi6uvBhADEiwAWiyRdgheuuwfrcdKC7R_qYsmxlkpKYmkKddoHiSU5Q5zMgUrJKr2Z2dVEhoCLOgQAvD_BwE</t>
  </si>
  <si>
    <t>https://www.prismalab.com.br/meios-de-cultura/agar-base-columbia-frasco-500g-k25-1104-kasvi?parceiro=1805&amp;gad_source=4&amp;gclid=CjwKCAiAi6uvBhADEiwAWiyRdoE2nOQ2RvtwSg-D8wm0yM1Ud63h_FPZOtO3Yi575cIO2Q-AtrUU8hoCGJsQAvD_BwE</t>
  </si>
  <si>
    <t>https://www.lojaprolab.com.br/agar-base-columbia-80409?utm_source=google&amp;utm_medium=feed&amp;utm_campaign=shopping&amp;gad_source=4&amp;gclid=CjwKCAiAi6uvBhADEiwAWiyRdtgeTrIbdzfLpbWwldJ285aJLA37Rnpn16E6D2E_p3ZELvYe3htXuRoCp1IQAvD_BwE</t>
  </si>
  <si>
    <t xml:space="preserve">21000000069 - ÁGAR BATATA-DEXTROSE (BDA) 500G
</t>
  </si>
  <si>
    <t>326288</t>
  </si>
  <si>
    <t>ÁGAR BATATA DEXTROSADO (BDA) FRASCO DE 500 G</t>
  </si>
  <si>
    <t>CATMAT -326288- Meio de cultura, tipo: ágar batata dextrosado, apresentação: pó. frasco 500 g.</t>
  </si>
  <si>
    <t>https://www.lojanetlab.com.br/meios-de-cultura/agar/agar-batata-dextrose-frasco-500g-ref-k25-610102-kasvi?parceiro=7105&amp;gad_source=4&amp;gclid=CjwKCAiAi6uvBhADEiwAWiyRdkvSSBdrw3eQl9zpGV1kyvCOAPq25Nh_HcP0yE-ZB6vTrDf2JxzuKxoCcwQQAvD_BwE</t>
  </si>
  <si>
    <t>https://www.lumilabor.com.br/reagentes-e-meios/agar-batata-dextrose-frasco-500g-ref-k25-1022-kasvi?parceiro=6858&amp;gad_source=4&amp;gclid=CjwKCAiAi6uvBhADEiwAWiyRdnduehRUwBP7CgcqFVeGfaDE1AX5D_PgwDcAYjjIoyQ_gM5ddVNDnxoCB2cQAvD_BwE</t>
  </si>
  <si>
    <t>https://www.orionprodutoscientificos.com.br/agar-batata-dextrose-frasco-500-g-kasvi?utm_source=Site&amp;utm_medium=GoogleMerchant&amp;utm_campaign=GoogleMerchant&amp;gad_source=4&amp;gclid=CjwKCAiAi6uvBhADEiwAWiyRdu1uDkOkxCgoNmgaIYw5tzi6bTiEYKYJhnADZ62UvEQnUM6FW94THRoCGbIQAvD_BwE</t>
  </si>
  <si>
    <t>AGAR BILE ESCULINA FRASCO 500G</t>
  </si>
  <si>
    <t>362668</t>
  </si>
  <si>
    <t>ÁGAR BILE ESCULINA 500 G</t>
  </si>
  <si>
    <t>CATMAT -405927- Descrição: Meio de cultura, tipo: ágar bile esculina, aspecto físico: pó. Frasco com 500 G</t>
  </si>
  <si>
    <t>https://www.orionprodutoscientificos.com.br/agar-bile-esculina-frasco-500g-himedia?utm_source=Site&amp;utm_medium=GoogleMerchant&amp;utm_campaign=GoogleMerchant&amp;gad_source=4&amp;gclid=CjwKCAiAi6uvBhADEiwAWiyRdkvk_VCE2UrvpJVAqiF769uHBC6azme_MmQGDz75c4tUNxX9hjBT_BoClzgQAvD_BwE</t>
  </si>
  <si>
    <t>https://www.dsyslab.com.br/meios-de-cultura/agar-em-po-desidratado/agar-bile-esculina-frasco-com-500-gramas-mod-m972-500g-himedia-velho?parceiro=7063&amp;srsltid=AfmBOoq-CJuSHCZu2_WQuVJGxOfztQ8UpRa5EheEi0_ifPWmvPh18y0zlII</t>
  </si>
  <si>
    <t>AGAR CETRIMIDE FRASCO 500G</t>
  </si>
  <si>
    <t>410312</t>
  </si>
  <si>
    <t>ÁGAR CETRIMIDE 500 G</t>
  </si>
  <si>
    <t>CATMAT - 326811 Descrição: Meio de cultura, tipo: ágar cetrimide, apresentação: pó. Frasco com 500 g</t>
  </si>
  <si>
    <t>https://www.lojaprolab.com.br/agar-cetrimide-80402?utm_source=google&amp;utm_medium=feed&amp;utm_campaign=shopping&amp;gad_source=4&amp;gclid=CjwKCAiAi6uvBhADEiwAWiyRdognyMpI70_Mzv84e5V6H9A2qahQcSB7gET2LUVitJ1ojxmQfaEu5RoC8swQAvD_BwE</t>
  </si>
  <si>
    <t>https://www.prismalab.com.br/meios-de-cultura/agar-cetrimide-frasco-500g-k25-1102-kasvi?parceiro=1805&amp;gad_source=4&amp;gclid=CjwKCAiAi6uvBhADEiwAWiyRdjKd-LCKg8SooVs0lUP3qXpFkTgfHqTTjzq79gS1XEcUiubWtw-uoxoC8k0QAvD_BwE</t>
  </si>
  <si>
    <t>https://www.lkpdiagnosticos.com.br/meios-de-cultura/agar-cetrimide-frasco-500-g-?parceiro=3898&amp;gad_source=4&amp;gclid=CjwKCAiAi6uvBhADEiwAWiyRdj-CoEQl6vSwTzTHLrUn4ouW_WTOleSddxsehZyE_eUK9ogpa25cgxoC6GMQAvD_BwE</t>
  </si>
  <si>
    <t>AGAR CITRATO SIMMONS FRASCO 500G </t>
  </si>
  <si>
    <t>326291</t>
  </si>
  <si>
    <t>AGAR CITRATO DE SIMMONS - FRASCO DE 500 G</t>
  </si>
  <si>
    <t>CATMAT -326291- AGAR CITRATO DE SIMMONS. Composição g/l Sulfato de Magnésio 0.2 Fosfato de Amônio Diidrogênio 1.0 Fosfato Dipotássio 1.0 Citrato de Sódio 2.0 Cloreto de Sódio 5.0 Azul de Bromotimol 0.08 Agar 15.0 pH Final: 6.8 + 0.2 a 25 °C. Frasco de 500 g</t>
  </si>
  <si>
    <t>https://www.prismalab.com.br/meios-de-cultura/agar-citrato-simmons-frasco-500g-k25-1014-kasvi?parceiro=1805&amp;gad_source=4&amp;gclid=CjwKCAiAi6uvBhADEiwAWiyRdnK1kz6IE5el_fSc4iOV_EnADlm-QFaZRqG3_dNrLFRvudS9rNY4rBoCXEoQAvD_BwE</t>
  </si>
  <si>
    <t>https://www.neobioshop.com.br/meios-de-cultura/agar-citrato-de-simmons-titan-frasco-500g?gad_source=4&amp;gclid=CjwKCAiAi6uvBhADEiwAWiyRdg0WTYvAcY6nz7G8JuCWfvalS4jOBDie21KcOsYZq0pTNkTt6-IgUBoCVHMQAvD_BwE</t>
  </si>
  <si>
    <t>AGAR CLED FRASCO 500G</t>
  </si>
  <si>
    <t>326292</t>
  </si>
  <si>
    <t>ÁGAR CLED 500 G</t>
  </si>
  <si>
    <t>CATMAT - 326292 Descrição: Meio de cultura, tipo: ágar cled, apresentação: pó. Frasco com 500 G</t>
  </si>
  <si>
    <t>https://www.prismalab.com.br/meios-de-cultura/agar-cled-frasco-500g-k25-1016-kasvi?parceiro=1805&amp;gad_source=4&amp;gclid=CjwKCAiAi6uvBhADEiwAWiyRdvq5CRs35y8TYAas2KvKG_ViyZmL_Sdn4Kr8fcXmbE1ew9hdOLUHxBoCrE8QAvD_BwE</t>
  </si>
  <si>
    <t>https://www.laborchemiker.com.br/produto.php?cod_produto=4462898&amp;gad_source=4&amp;gclid=CjwKCAiAi6uvBhADEiwAWiyRdnZbCQHDJL-vXw6yCnNKg034j4I_-SlkbWh0knypp63qvBsIL5a8EBoCJi0QAvD_BwE</t>
  </si>
  <si>
    <t>https://www.orionprodutoscientificos.com.br/agar-cled-500-g-kasvi?utm_source=Site&amp;utm_medium=GoogleMerchant&amp;utm_campaign=GoogleMerchant&amp;gad_source=4&amp;gclid=CjwKCAiAi6uvBhADEiwAWiyRdiPVGFk9jjOJQbaOnky12V2p2E65GVMN9qk24cOx2Rk8utq0iTTDTxoCyJsQAvD_BwE</t>
  </si>
  <si>
    <t>AGAR LEVINE-BEM</t>
  </si>
  <si>
    <t>326351</t>
  </si>
  <si>
    <t>AGAR EMB LEVINE FRASCO 500 G</t>
  </si>
  <si>
    <t>CATMAT -326351- Descrição: Ágar Emb Levine (Eosina Azul De Metileno) Apresentação: Pó. Frasco com 500 G. O Agar Levine (EMB) é um meio seletivo para a investigação e diferenciação de enterobactérias fermentadoras de lactose em alimentos, produtos lácteos e amostras clínicas. É usado para o exame de amostras de importância sanitária para a presença de coliformes.</t>
  </si>
  <si>
    <t>https://www.prismalab.com.br/meios-de-cultura/agar-levine-emb-frasco-500g-k25-1050-kasvi?parceiro=1805&amp;gad_source=4&amp;gclid=CjwKCAiAi6uvBhADEiwAWiyRdjRKvdNu0qfPvy8oQVxRxWoNAh_GzAZGwnE6tUlA7VQIrkDmxora-RoCIvIQAvD_BwE</t>
  </si>
  <si>
    <t>https://www.acsreagentes.com.br/agar-levine-emb.-frasco-500-g?utm_source=Site&amp;utm_medium=GoogleShopping&amp;utm_campaign=GooglePMax&amp;gad_source=4&amp;gclid=CjwKCAiAi6uvBhADEiwAWiyRdugnh24vAqNIy_XlSqYSZsiuaqWVxjSJ6s3CdLf2uJw2ivuP2elduhoCjpgQAvD_BwE</t>
  </si>
  <si>
    <t>https://www.lumilabor.com.br/reagentes-e-meios/agar-levine-emb-eosin-methylene-blue-frasco-500g-k25-1050-kasvi?parceiro=6858&amp;gad_source=4&amp;gclid=CjwKCAiAi6uvBhADEiwAWiyRdmXuNpdhxq2jTlBClTjBmqVuo0o3adQZhxyWAF6_jwPFTRLK_DrTnxoCI48QAvD_BwE</t>
  </si>
  <si>
    <t>AGAR HEKTOEN ENTÉRICO FRASCO 500G</t>
  </si>
  <si>
    <t>326276</t>
  </si>
  <si>
    <t xml:space="preserve"> Meio De Cultura, Tipo: Ágar Hektoen, Apresentação: Pó, Fornecido em Frasco de 500 g. </t>
  </si>
  <si>
    <t>https://www.eplab.com.br/laboratorio/consumo/meio-de-cultura/agar-hektoen-enterico-frasco-500g-k25-1030?gad_source=4&amp;gclid=CjwKCAiAi6uvBhADEiwAWiyRdlf8hLLhqzv4hLF4ykhNkCKYaevMTJje-rmt27SMum3qp5TuT13aAxoCCacQAvD_BwE</t>
  </si>
  <si>
    <t>https://www.lojaprolab.com.br/agar-hektoen-enterico-80416?utm_source=google&amp;utm_medium=feed&amp;utm_campaign=shopping&amp;gad_source=4&amp;gclid=CjwKCAiAi6uvBhADEiwAWiyRdp2gbddP4NRB11h1qzPO4_-xska3rncJx9rytwvgbku90HP9FMIdExoClo0QAvD_BwE</t>
  </si>
  <si>
    <t>https://www.neobioshop.com.br/meios-de-cultura/agar-hektoen-enterico-titan-frasco-500g?gad_source=4&amp;gclid=CjwKCAiAi6uvBhADEiwAWiyRdmVWS8EvCCtX5oMvSlmCeFL-n4KK12fyfQKCpkV5_p5i3xsHFaaXfxoCCHwQAvD_BwE</t>
  </si>
  <si>
    <t xml:space="preserve">
456301        AGAR LISINA FERRO (LIA) FRASCO 500G</t>
  </si>
  <si>
    <t>456301</t>
  </si>
  <si>
    <t>AGAR LISINA FERRO (LIA) 500G</t>
  </si>
  <si>
    <t>CATMAT -326814- Descrição: Meio de cultura, tipo: ágar lisina ferro, apresentação: pó, frasco com 500 g</t>
  </si>
  <si>
    <t>https://www.prismalab.com.br/meios-de-cultura/agar-lisina-ferro-lia-frasco-500g-k25-1044-kasvi?parceiro=1805&amp;gad_source=4&amp;gclid=CjwKCAiAi6uvBhADEiwAWiyRdhHWzHlioxwszYovezEFDEOGjuYRScySmNc7EshIDsgWLkMv1Jpz5xoChvgQAvD_BwE</t>
  </si>
  <si>
    <t>https://www.orionprodutoscientificos.com.br/agar-lisina-ferro-lia-frasco-500-g-kasvi?utm_source=Site&amp;utm_medium=GoogleMerchant&amp;utm_campaign=GoogleMerchant&amp;gad_source=4&amp;gclid=CjwKCAiAi6uvBhADEiwAWiyRdrA5Yb3nOJRlnmmVFpvfqsjTFIR1so-7m1XYSajPRpFOfbEkoZ6qARoCpkEQAvD_BwE</t>
  </si>
  <si>
    <t>https://www.lojaprolab.com.br/agar-lisina-ferro-80422?utm_source=google&amp;utm_medium=feed&amp;utm_campaign=shopping&amp;gad_source=4&amp;gclid=CjwKCAiAi6uvBhADEiwAWiyRdk8UCBTn9Rx-ZsIU9fCt3-HrCC7o89cQGN9Mbfa9HYkmM7e-86VM-xoCq7wQAvD_BwE</t>
  </si>
  <si>
    <t>AGAR MACCONKEY FRASCO 500G </t>
  </si>
  <si>
    <t>417743</t>
  </si>
  <si>
    <t>ÁGAR MACCONKEY 500 G</t>
  </si>
  <si>
    <t>CATMAT - 326284 Descrição: Meio de cultura, tipo: ágar macconkey, apresentação: pó. Frasco com 500 G</t>
  </si>
  <si>
    <t>https://www.acsreagentes.com.br/agar-macconkey.-frasco-500-g?utm_source=Site&amp;utm_medium=GoogleMerchant&amp;utm_campaign=GoogleMerchant&amp;gad_source=4&amp;gclid=CjwKCAiAi6uvBhADEiwAWiyRdmx8EpFUw4DYwhKoAdClM6gn5mfsBrLBejnqjlFIVNaUgfBYejmJphoC-0gQAvD_BwE</t>
  </si>
  <si>
    <t>https://www.lumilabor.com.br/reagentes-e-meios/agar-mac-conkey-frasco-500g-k25-1052-kasvi?parceiro=6858&amp;gad_source=4&amp;gclid=CjwKCAiAi6uvBhADEiwAWiyRdsn7sAws3wVb9p-W9V28ki8DgpcqREq_hDPFCQbCDYoWNbjVmN6oDxoCurUQAvD_BwE</t>
  </si>
  <si>
    <t>https://www.lkpdiagnosticos.com.br/meios-de-cultura/k25-610028-agar-macconkey-frasco-500g?parceiro=3898&amp;gad_source=4&amp;gclid=CjwKCAiAi6uvBhADEiwAWiyRdlNZvHjpfbYnma_WBzds_hVsuePPgTwETU8gRcne_d2zAvk3tMkhzBoCMioQAvD_BwE</t>
  </si>
  <si>
    <t xml:space="preserve">AGAR MUELLER HINTON FRASCO 500G         </t>
  </si>
  <si>
    <t>326282</t>
  </si>
  <si>
    <t>ÁGAR MUELLER HINTON - FRASCO DE 500 G</t>
  </si>
  <si>
    <t>CATMAT -326282- Ágar Mueller Hinton, Meio de cultura, apresentação: pó Frasco 500 g</t>
  </si>
  <si>
    <t>https://www.lkpdiagnosticos.com.br/meios-de-cultura/agar-mueller-hinton-frasco-500g?parceiro=3898&amp;gad_source=4&amp;gclid=Cj0KCQiArrCvBhCNARIsAOkAGcWdivqGEThXLRhUKcOuuFK26aUnFsBlhRvNNs8WhURFIk-cEGdEoU0aAvyLEALw_wcB</t>
  </si>
  <si>
    <t>https://www.neobioshop.com.br/meios-de-cultura/agar-mueller-hinton-titan-frasco-500g?gad_source=4&amp;gclid=Cj0KCQiArrCvBhCNARIsAOkAGcXXlHDbmrABx00KX7fsTc2022Wv_m6n4Qwtv5d85YAtqf4kLNaf41EaAiUbEALw_wcB</t>
  </si>
  <si>
    <t>https://www.acsreagentes.com.br/agar-mueller-hinton.-frasco-500-g?utm_source=Site&amp;utm_medium=GoogleShopping&amp;utm_campaign=GooglePMax&amp;gad_source=4&amp;gclid=Cj0KCQiArrCvBhCNARIsAOkAGcVN3e3HL_oh-FNCdH81S0OaLEdFmc75sqd5iQIDUg_zxESpCDYHuEQaAk5zEALw_wcB</t>
  </si>
  <si>
    <t>CATMAT - 326278 - MEIO DE CULTURA, TIPO: ÁGAR NUTRIENTE, APRESENTAÇÃO: PÓ. ENTREGUE EM FRASCOS DE 500 G.</t>
  </si>
  <si>
    <t>326278</t>
  </si>
  <si>
    <t>ÁGAR NUTRIENTE FRASCO DE 500 G</t>
  </si>
  <si>
    <t>CATMAT -326278- ÁGAR NUTRIENTE MEIO DE CULTURA, TIPO: ÁGAR NUTRIENTE, APRESENTAÇÃO: PÓ. ENTREGUE EM FRASCOS DE 500 G.</t>
  </si>
  <si>
    <t>https://www.lojaprolab.com.br/agar-nutriente-80438?utm_source=google&amp;utm_medium=feed&amp;utm_campaign=shopping&amp;gad_source=4&amp;gclid=Cj0KCQiArrCvBhCNARIsAOkAGcVmtAJKIflpgiwWTkibs3w7tBqtSsVxbeq5JBWTss0OtFmpAnDuK3QaAho0EALw_wcB</t>
  </si>
  <si>
    <t>https://www.acsreagentes.com.br/agar-nutriente.-frasco-500-g?utm_source=Site&amp;utm_medium=GoogleShopping&amp;utm_campaign=GooglePMax&amp;gad_source=4&amp;gclid=Cj0KCQiArrCvBhCNARIsAOkAGcWn8FV7aryWq8jeO0_WxLvA80_Vp7dnLvQ7jSb5IOOpY8nOvWk5h-caAvbsEALw_wcB</t>
  </si>
  <si>
    <t>https://www.neobioshop.com.br/meios-de-cultura/agar-nutriente-no-2-conforme-bis-500g-codigo-tm-798-marca-titan?gad_source=4&amp;gclid=Cj0KCQiArrCvBhCNARIsAOkAGcWWOkPG8HZcfIi307OaB2IUQlahslKCF1C-4dkkoqFtvqdHCbOL06YaAt0hEALw_wcB</t>
  </si>
  <si>
    <t>CATMAT -326297- MEIO DE CULTURA, TIPO ÁGAR SABOURAUD DEXTROSE 4%, APRESENTAÇÃO PÓ, FRASCO 500 G.</t>
  </si>
  <si>
    <t>326297</t>
  </si>
  <si>
    <t>ÁGAR SABOURAUD DEXTROSE 4%, APRESENTAÇÃO PÓ, FRASCO 500 G.</t>
  </si>
  <si>
    <t>CATMAT -326297- Meio de cultura, tipo ágar Sabouraud dextrose 4%, apresentação pó, frasco 500 g.</t>
  </si>
  <si>
    <t>https://www.neobioshop.com.br/meios-de-cultura/agar-sabouraud-dextrose-titan-frasco-500g?gad_source=4&amp;gclid=Cj0KCQiArrCvBhCNARIsAOkAGcX4qyjSlKoAhT1qoWxFEgtKqseFwbB_SGJUGsnZPJJqzybsCXYUiMkaAiTrEALw_wcB</t>
  </si>
  <si>
    <t>https://www.lojaprlabor.com.br/produtos/agar-sabouraud-dextrose-500g/?pf=gs&amp;variant=559525877&amp;gad_source=4&amp;gclid=Cj0KCQiArrCvBhCNARIsAOkAGcU2FIMHJulOQsCm-ef_61YVqRMilEHWnBlELBih4-qMDPFzOAhyphgaAkD7EALw_wcB</t>
  </si>
  <si>
    <t>https://www.lojaprlabor.com.br/produtos/agar-sabouraud-dextrose-500g/?pf=gs&amp;variant=559525877&amp;gad_source=1&amp;gclid=CjwKCAjw48-vBhBbEiwAzqrZVAqiP1JCYV8qqBY612iSdkqocLRtHTyiKVA68Jca8tJn85dp-eX0TBoCp5oQAvD_BwE</t>
  </si>
  <si>
    <t xml:space="preserve">	AGAR SALMONELLA SHIGELLA (SS) FRASCO 500G	</t>
  </si>
  <si>
    <t>326277</t>
  </si>
  <si>
    <t>AGAR SALMONELLA SHIGELA (SS) 500G</t>
  </si>
  <si>
    <t>CATMAT -326277- Descrição: Meio de cultura, tipo: ágar salmonella, shigella, apresentação: pó. Frasco com 500 G.</t>
  </si>
  <si>
    <t>https://www.neobioshop.com.br/meios-de-cultura/agar-salmonella-shiguella-agar-ss-titan-frasco-500g?gad_source=4&amp;gclid=Cj0KCQiArrCvBhCNARIsAOkAGcVSieM3Rhnz1OEFQVTGDDBulLRHz3vBA1DroZ4jSgZjoEUXfi62_DcaArd1EALw_wcB</t>
  </si>
  <si>
    <t>https://www.lumilabor.com.br/reagentes-e-meios/agar-salmonella-shigella-ss-frasco-500g-k25-1064-kasvi?parceiro=6858&amp;gad_source=4&amp;gclid=Cj0KCQiArrCvBhCNARIsAOkAGcWXBLoTEZQ_Bl1QJACGwVllo8SyyxgIM3LhuNcQkVhtUierfM6eSMAaApyYEALw_wcB</t>
  </si>
  <si>
    <t>CATMAT -326299- MEIO DE CULTURA, TIPO: ÁGAR SANGUE, APRESENTAÇÃO: PÓ, FRASCO 500 G</t>
  </si>
  <si>
    <t>326299</t>
  </si>
  <si>
    <t>ÁGAR SANGUE FRASCO DE 500 G</t>
  </si>
  <si>
    <t>CATMAT -326299- Meio de cultura, tipo: ágar sangue, apresentação: pó, frasco 500 g</t>
  </si>
  <si>
    <t>https://www.biosynesis.com.br/produto/agar-base-sangue-frasco-500-g.html?utm_source=Site&amp;utm_medium=GoogleMerchant&amp;utm_campaign=GoogleMerchant&amp;gad_source=4&amp;gclid=Cj0KCQiArrCvBhCNARIsAOkAGcWxoOnjkUYddbR7ZPeLY3e7o3AGID5H4ZM4aSNS_MLd2bBDqzevgckaAi8sEALw_wcB</t>
  </si>
  <si>
    <t>https://www.acsreagentes.com.br/agar-base-sangue.-frasco-500-g?utm_source=Site&amp;utm_medium=GoogleShopping&amp;utm_campaign=GooglePMax&amp;gad_source=4&amp;gclid=Cj0KCQiArrCvBhCNARIsAOkAGcUNrcQfJyK0Z8KS4p0Ve3cjHOoF__-fBxvhbjgDFd2tQKKbtR-nn_waAqlyEALw_wcB</t>
  </si>
  <si>
    <t>https://www.lumilabor.com.br/reagentes-e-meios/agar-sangue-base-frasco-500g-k25-1108-kasvi?parceiro=6858&amp;gad_source=4&amp;gclid=Cj0KCQiArrCvBhCNARIsAOkAGcU0wzfGEPlk3B5kpErj-M8QNEGZIFN69CgL3INu7HaheTcoTNi521oaAt5wEALw_wcB</t>
  </si>
  <si>
    <t>MEIO DE CULTURA, TIPO: ÁGAR SIM, APRESENTAÇÃO: PÓ 500G</t>
  </si>
  <si>
    <t>326812</t>
  </si>
  <si>
    <t>ÁGAR SIM FRASCO DE 500 G</t>
  </si>
  <si>
    <t>CATMAT -326812- Meio de cultura, tipo: ágar sim, apresentação: pó, frasco 500 g</t>
  </si>
  <si>
    <t>https://www.acsreagentes.com.br/meio-sim.-frasco-500-g?utm_source=Site&amp;utm_medium=GoogleMerchant&amp;utm_campaign=GoogleMerchant&amp;gad_source=4&amp;gclid=Cj0KCQiArrCvBhCNARIsAOkAGcXvZIPEiXZu9WoVMOXy7y2zNVR7VTBluDS9RgHkvaeyBf0tEW1QxlkaArXlEALw_wcB</t>
  </si>
  <si>
    <t>https://www.dsyslab.com.br/meios-de-cultura/meio-sim-frasco-com-500-gramas-mod-k25-1514-kasvi?parceiro=7063&amp;srsltid=AfmBOor_t3uQgZJ-TOucJhWT6sApeDNcn1z52ir-WggUnmh_G6o9N0hqegM</t>
  </si>
  <si>
    <t>https://www.acsreagentes.com.br/meio-sim.-frasco-500-g?utm_source=Site&amp;utm_medium=GoogleShopping&amp;utm_campaign=GooglePMax</t>
  </si>
  <si>
    <t xml:space="preserve">	AGAR TRÍPLICE AÇÚCAR FERRO (TSI) FRASCO 500G	</t>
  </si>
  <si>
    <t>326303</t>
  </si>
  <si>
    <t>ÁGAR TSI FRASCO DE 500 G</t>
  </si>
  <si>
    <t>CATMAT -326303- Meio de cultura, tipo: ágar tsi, apresentação: pó, frasco 500 g</t>
  </si>
  <si>
    <t>https://www.lojaprolab.com.br/agar-triplice-acucar-ferro-%e2%80%93-tsi-80454?utm_source=google&amp;utm_medium=feed&amp;utm_campaign=shopping&amp;gad_source=4&amp;gclid=Cj0KCQiArrCvBhCNARIsAOkAGcWawL0hE0IBDRXDE8p9fg7dasQA6jXQ0RfbwP6JPxukO0t-ZiCcSokaAogHEALw_wcB</t>
  </si>
  <si>
    <t>https://www.lumilabor.com.br/reagentes-e-meios/agar-triplice-acucar-ferro-tsi-frasco-500g-k25-1046-kasvi?parceiro=6858&amp;gad_source=4&amp;gclid=Cj0KCQiArrCvBhCNARIsAOkAGcV8T1wG1ovRak22WFPOd1hh_Q0Se7hmBWqLnXZiCt2JnhdQG3fGIxoaAgLsEALw_wcB</t>
  </si>
  <si>
    <t>https://www.acsreagentes.com.br/agar-triplo-acucar-ferro-tsi.-frasco-500-g?utm_source=Site&amp;utm_medium=GoogleMerchant&amp;utm_campaign=GoogleMerchant&amp;gad_source=4&amp;gclid=Cj0KCQiArrCvBhCNARIsAOkAGcVaPk10Q3s7_Zohqp2hyOQl07an4QHMiRbZ-yLsRnGdseqO_leTrRoaAigpEALw_wcB</t>
  </si>
  <si>
    <t>CATMAT -326867- MEIO DE CULTURA, TIPO: ÁGAR UREIA DE CHRISTENSEN, APRESENTAÇÃO: PÓ, FRASCO 500 G</t>
  </si>
  <si>
    <t>326867</t>
  </si>
  <si>
    <t>AGAR UREIA BASE (CHRISTENSEN) 500G</t>
  </si>
  <si>
    <t>CATMAT -326867- Meio de cultura, tipo: ágar ureia de christensen, apresentação: pó, frasco 500 g</t>
  </si>
  <si>
    <t>https://www.dsyslab.com.br/urea-agar-base-christensen-frasco-500-g-mod-m112i-500g-himedia?parceiro=7063&amp;srsltid=AfmBOop-QcBHVzIfuRD6779kGu8caHg_g5nx2WC4xnVcnReIpdFETJ7d1to</t>
  </si>
  <si>
    <t>https://www.didaticasp.com.br/AGAR-UREIA-BASE-500G</t>
  </si>
  <si>
    <t>https://www.eplab.com.br/laboratorio/consumo/meio-de-cultura/agar-base-ureia-s-ureia-frasco-500g-g-k25-2180?gad_source=4&amp;gclid=Cj0KCQiArrCvBhCNARIsAOkAGcUCzXA83sJwagNn6GdtpZLuDYIPYlISZQhfe2iIFaW6XkLkHvC6tbcaAtVhEALw_wcB</t>
  </si>
  <si>
    <t>MEIO DE CULTURA, TIPO: ÁGAR VERDE BRILHANTE, APRESENTAÇÃO: PÓ 500G</t>
  </si>
  <si>
    <t>326279</t>
  </si>
  <si>
    <t>AGAR VERDE BRILHANTE 500G</t>
  </si>
  <si>
    <t>CATMAT - 326279 Descrição: Meio de cultura, tipo: ágar verde brilhante, apresentação: pó. Frasco com 500 G.</t>
  </si>
  <si>
    <t>https://www.lojaprolab.com.br/agar-verde-brilhante-80456?utm_source=google&amp;utm_medium=feed&amp;utm_campaign=shopping&amp;gad_source=4&amp;gclid=Cj0KCQiArrCvBhCNARIsAOkAGcWgdBUE-j9hDTH3qpm4UTAyFK4eMIxHW1uJUzzh17204C-aZqIfXdMaAseOEALw_wcB</t>
  </si>
  <si>
    <t>https://www.acsreagentes.com.br/agar-verde-brilhante-frasco-500g?utm_source=Site&amp;utm_medium=GoogleShopping&amp;utm_campaign=GooglePMax&amp;gad_source=4&amp;gclid=Cj0KCQiArrCvBhCNARIsAOkAGcWUP_WtVc5YVaFDV5S8LYVZVgFk2uzON3LlkjNFdFUBJv2Xc2TZ7j8aApeOEALw_wcB</t>
  </si>
  <si>
    <t>https://www.lkpdiagnosticos.com.br/meios-de-cultura/agar-verde-brilhante-500g?parceiro=3898&amp;gad_source=4&amp;gclid=Cj0KCQiArrCvBhCNARIsAOkAGcVouUWb1x446LRhXw3k45_ZeTo7EiKjn__Gr542vnrB5UCKt0YUjlYaApRZEALw_wcB</t>
  </si>
  <si>
    <t xml:space="preserve">"AGAROSE, ASPECTO FÍSICO PÓ, TIPO DE BAIXA ELETROENDOSMOSE, CARACTERÍSTICAS ADICIONAIS LIVRE DE DNASE E RNASE, RESISTÊNCIA MAIOR OU IGUAL A 1200 G/CM² (GEL A 1%). EMBALAGEM COM 500G."
</t>
  </si>
  <si>
    <t>328135</t>
  </si>
  <si>
    <t>AGAROSE PARA BIOLOGIA MOLECULAR FRASCO 500 G</t>
  </si>
  <si>
    <t>CATMAT 328135 - AGAROSE, ASPECTO FÍSICO: PÓ, TIPO: DE BAIXO PONTO DE FUSÃO, CARACTERÍSTICAS ADICIONAIS: LIVRE DE DNASE E RNASE, RESISTÊNCIA: MAIOR OU IGUAL A 200 G,CM² (GEL A 1%) - (IDEAL PARA ROTINAS LABORATORIAIS DE ANALISES DE ÁCIDOS NUCLEICOS EM ELETROFORESE DE GEL. ADEQUADO PARA ROTINAS DE ELETROFORESE DE FRAGMENTOS DE ÁCIDO NUCLEICO ENTRE 500-23.000PB). TEMPERATURA DE GELIFICAÇÃO 36ºC +/-1.5/ LIVRE DE DNASE E RNASE. TEMPERATURA DE ESTOCAGEM 18 - 26ºC. FRASCO COM 500 GRAMAS</t>
  </si>
  <si>
    <t>https://labtrade.com.br/carrinho/</t>
  </si>
  <si>
    <t>https://www.labimport.com.br/reagentes/agarose-padrao-500-g</t>
  </si>
  <si>
    <t>https://www.orionprodutoscientificos.com.br/agarose-padrao-frasco-500-gramas-kasvi?utm_source=Site&amp;utm_medium=GoogleMerchant&amp;utm_campaign=GoogleMerchant</t>
  </si>
  <si>
    <t>CATMAT -392832- MEIO DE CULTURA, TIPO: ÁGUA PEPTONADA TAMPONADA, APRESENTAÇÃO: PÓ 500G</t>
  </si>
  <si>
    <t>392832</t>
  </si>
  <si>
    <t>ÁGUA PEPTONADA TAMPONADA FRASCO 500 G</t>
  </si>
  <si>
    <t>CATMAT -392832- Meio de cultura, tipo: água peptonada tamponada, apresentação: pó 500g</t>
  </si>
  <si>
    <t>https://www.acsreagentes.com.br/agua-peptona-tamponada.-frasco-500-g?utm_source=Site&amp;utm_medium=GoogleShopping&amp;utm_campaign=GooglePMax&amp;gad_source=4&amp;gclid=CjwKCAjw17qvBhBrEiwA1rU9wy5be74bBdCRxncP3eemT8y-5QyBoOv95ciyT-vTulbuSKdlF4xjbxoCgtoQAvD_BwE</t>
  </si>
  <si>
    <t>https://www.laborchemiker.com.br/produto.php?cod_produto=4527814&amp;gad_source=4&amp;gclid=CjwKCAjw17qvBhBrEiwA1rU9w7nyqg8aI84QmpuVXzfiE4uZCA_H1SaOwoCyMJYjsC3h0D3VXPALYhoCZyUQAvD_BwE</t>
  </si>
  <si>
    <t>https://www.dsyslab.com.br/reagentes/agua/agua-peptona-tamponada-kasvi?parceiro=7063&amp;srsltid=AfmBOopEHzvHVb0ERu6U92A4AanP4a1oTjk85UOk8aAC4J6h91JHJImojaI</t>
  </si>
  <si>
    <t>ÁGUA ULTRAPURA, LIVRE DE DNASE E RNASE, PARA APLICAÇÃO EM BIOLOGIA MOLECULAR - ESTÉRIL. FRASCO, UNIDADE OU RECIPIENTE COM 500ML. PRONTO PARA O USO.</t>
  </si>
  <si>
    <t>320353</t>
  </si>
  <si>
    <t>quando pesquisa por água para destilada para biologia molecular o que encotra é água ultrapura logo o nosso padrão será esse.</t>
  </si>
  <si>
    <t>ÁGUA ULTRAPURA, LIVRE DE DNASE E RNASE, PARA APLICAÇÃO EM BIOLOGIA MOLECULAR</t>
  </si>
  <si>
    <t>CATMAT -320353- Água ultrapura, livre de DNAse e RNAse, para aplicação em biologia molecular. Estéril. Frasco, unidade ou recipiente com 500mL. Pronto para o uso.</t>
  </si>
  <si>
    <t>https://labtrade.com.br/produto/agua-ultra-pura-tipo-1/</t>
  </si>
  <si>
    <t>https://www.lkpdiagnosticos.com.br/endotoxina/agua-ultrapura-tipo-i-endotoxinas-free-livre-de-contaminacao-filtrada-0-1-micra-500ml?parceiro=3898</t>
  </si>
  <si>
    <t>pu</t>
  </si>
  <si>
    <t>CATMAT -327370- ALARANJADO DE METILA, FÓRMULA QUÍMICA: C14H14N3NAO3S, PESO MOLECULAR: 327,34 G/MOL, ASPECTO FÍSICO: PÓ, CARACTERÍSTICAS ADICIONAIS: CI 13025, NÚMERO DE REFERÊNCIA QUÍMICA: CAS 547-58-0. FRASCO COM 25G.</t>
  </si>
  <si>
    <t>327370</t>
  </si>
  <si>
    <t>ALARANJADO DE METILA FRASCO 25 G</t>
  </si>
  <si>
    <t>CATMAT -327370- Alaranjado de metila, fórmula química: C14H14N3NaO3S, peso molecular: 327,34 g/mol, aspecto físico: pó, características adicionais: CI 13025, número de referência química: CAS 547-58-0. Frasco com 25g.</t>
  </si>
  <si>
    <t>https://www.labimport.com.br/reagentes/alaranjado-de-metila/alaranjado-de-metila-pa-acs-25g-11671</t>
  </si>
  <si>
    <t>https://www.laderquimica.com.br/alaranjado-de-metila-pa-acs-25g-neon?utm_source=Site&amp;utm_medium=GoogleShopping&amp;utm_campaign=GooglePMax&amp;srsltid=AfmBOopfbOAOCG2v8Hsu8m3S6EbSfqBCIe0xnogqmy7gCcDp8jTQqhoP8fQ</t>
  </si>
  <si>
    <t>https://www.orionprodutoscientificos.com.br/alaranjado-de-metila-p-a-acs-25-g-fabricante-neon?utm_source=Site&amp;utm_medium=GoogleMerchant&amp;utm_campaign=GoogleMerchant</t>
  </si>
  <si>
    <t>ALBUMINA DE SORO BOVINO FRAÇÃO V LIOFILIZADA	-
CATMAT - 415798 DESCRIÇÃO: PROTEÍNA, TIPO: ALBUMINA, APRESENTAÇÃO: LIOFILIZADA, CARACTERÍSTICAS ADICIONAIS: DE SORO BOVINO (BSA), GRAU PUREZA: MÍNIMO DE 96%, CARACTERÍSTICA ADICIONAL: FRAÇÃO V, OBTIDA POR EXTRAÇÃO A FRIO COM ETANOL OU POR CHOQUE TÉRMICO, PH 5,2. FORNECIMENTO EM FRASCO DE 100G. CÓD. SIPAC: 21000000441</t>
  </si>
  <si>
    <t>415798</t>
  </si>
  <si>
    <t>necessita de refrigeração?</t>
  </si>
  <si>
    <t>ALBUMINA DE SORO BOVINO FRAÇÃO V LIOFILIZADA</t>
  </si>
  <si>
    <t>CATMAT - 415798 Albumina, apresentação: liofilizada, características adicionais: albumina de soro bovino (BSA), mínimo de 96%, característica adicional: fração V, obtida por extração a frio com etanol ou por choque térmico. Fornecimento em Frasco com 100 g.</t>
  </si>
  <si>
    <t>https://www.lojaacscientifica.com.br/albumina-bovina-fracao-v-segcohn-grau-padrao?variation=13088639</t>
  </si>
  <si>
    <t>CATMAT -380790- ÁLCOOL BUTÍLICO, ASPECTO FÍSICO: LÍQUIDO LÍMPIDO, INCOLOR, ODOR FORTE CARACTERÍSTICO, PESO MOLECULAR: 74,12 G/MOL, FÓRMULA QUÍMICA: C4H9OH NORMAL (1-BUTANOL), PUREZA MÍNIMA DE 99,4%, CARACTERÍSTICA ADICIONAL: REAGENTE P.A. ACS, NÚMERO DE REFERÊNCIA QUÍMICA: CAS 71-36-3.</t>
  </si>
  <si>
    <t>380790</t>
  </si>
  <si>
    <t>ÁLCOOL BUTÍLICO NORMAL (1-BUTANOL) P.A. ACS</t>
  </si>
  <si>
    <t>CATMAT -380790- Álcool butílico, aspecto físico: líquido límpido, incolor, odor forte característico, peso molecular: 74,12 g/mol, fórmula química: C4H9OH normal (1-butanol), pureza mínima de 99,4%, característica adicional: reagente P.A. ACS, número de referência química: CAS 71-36-3. Entregue em frasco de vidro ambar.</t>
  </si>
  <si>
    <t>https://www.lojaacscientifica.com.br/alcool-butilico-normal-pa-acs-butanol-1-embalagem-1l</t>
  </si>
  <si>
    <t>https://labshow.com.br/loja/Labshow/produto/1171/alcool-butilico-normal-pa-acs-810g-1-butanol-dinamica</t>
  </si>
  <si>
    <t>ÁLCOOL ETÍLICO, ASPECTO FÍSICO: LÍQUIDO LÍMPIDO, INCOLOR, VOLÁTIL, TEOR ALCOÓLICO: MÍNIMO DE 99,5°GL, FÓRMULA QUÍMICA: C2H5OH, PESO MOLECULAR: 46,07 G/MOL, CARACTERÍSTICA ADICIONAL: ABSOLUTO, REAGENTE P.A.</t>
  </si>
  <si>
    <t>357239</t>
  </si>
  <si>
    <t>MATERIAIS HOSPITALARES</t>
  </si>
  <si>
    <t>ÁLCOOL ETÍLICO ABSOLUTO P.A. ACS</t>
  </si>
  <si>
    <t>CATMAT - 357239 - Álcool etílico, aspecto físico: líquido límpido, incolor, volátil, teor alcoólico: mínimo de 99,5°GL, fórmula química: C2H5OH, peso molecular: 46,07 g/mol, característica adicional: absoluto, reagente P.A. ACS, número de referência química: CAS 64-17-5. Entregue em frasco de vidro ambar.</t>
  </si>
  <si>
    <t>https://myhexis.com.br/index.php?option=com_movimentacao&amp;op=PROD&amp;task=detalhar&amp;produto_id=HX0179-00005</t>
  </si>
  <si>
    <t>https://bioprecisa.com.br/produto/alcool-etilico-absoluto/</t>
  </si>
  <si>
    <t>https://www.lojaacscientifica.com.br/alcool-etilico-absoluto-998-pa-acs-frasco-de-vidro-embalagem-1l</t>
  </si>
  <si>
    <t xml:space="preserve">[ÁLCOOL ETÍLICO PUREZA MÍNIMA 96 %]  ÁLCOOL ETÍLICO, ASPECTO FÍSICO: LÍQUIDO, FÓRMULA QUÍMICA: C2H6O, PESO MOLECULAR: 46,07 G/MOL, PUREZA MÍNIMA DE 96%, NÚMERO DE REFERÊNCIA QUÍMICA: CAS 64-17-5, NO MOMENTO DA REQUISIÇÃO O REQUISITANTE DEVERÁ INFORMAR SE SERÁ ENTREGUE EM GARRAFA DE 1 L OU GALÃO DE 5 L.
</t>
  </si>
  <si>
    <t>444849</t>
  </si>
  <si>
    <t>ÁLCOOL ETÍLICO PUREZA MÍNIMA 96 %</t>
  </si>
  <si>
    <t>CATMAT - 444849 - Álcool etílico, aspecto físico: líquido, fórmula química: C2H6O, peso molecular: 46,07 g/mol, pureza mínima de 96%, número de referência química: CAS 64-17-5, no momento da requisição o requisitante deverá informar se será entregue em garrafa de 1 L ou galão de 5 L.</t>
  </si>
  <si>
    <t>https://www.labimport.com.br/reagentes/alcool-etilico/alcool-etilico-96-p-a-frasco-plastico-de-1-litro</t>
  </si>
  <si>
    <t>https://www.lojaacscientifica.com.br/alcool-etilico-96-pa?variation=14182306</t>
  </si>
  <si>
    <t>https://www.quanticaw.com.br/alcool-96-1litro-p67</t>
  </si>
  <si>
    <t>CATMAT 349664 - ÁLCOOL ETÍLICO, ASPECTO FÍSICO: LÍQUIDO LÍMPIDO, INCOLOR, VOLÁTIL, TEOR ALCOÓLICO: MÍNIMO DE 99,5°GL, FÓRMULA QUÍMICA: C2H5OH, PESO MOLECULAR: 46,07 G,MOL, GRAU DE PUREZA: MÍNIMO DE 99,7% P,P INPM, CARACTERÍSTICA ADICIONAL: ABSOLUTO, REAGENTE UV,HPLC, NÚMERO DE REFERÊNCIA QUÍMICA: CAS 64-17-5</t>
  </si>
  <si>
    <t>349664</t>
  </si>
  <si>
    <t>ÁLCOOL ETÍLICO UV HPLC</t>
  </si>
  <si>
    <t>CATMAT -349664 - ÁLCOOL ETÍLICO, ASPECTO FÍSICO: LÍQUIDO LÍMPIDO, INCOLOR, VOLÁTIL, TEOR ALCOÓLICO: MÍNIMO DE 99,5 %, FÓRMULA QUÍMICA: C2H5OH, PESO MOLECULAR: 46,07 G,MOL, CARACTERÍSTICA ADICIONAL: ABSOLUTO, REAGENTE UV, HPLC, NÚMERO DE REFERÊNCIA QUÍMICA: CAS 64-17-5, Entregue em frasco de vidro ambar.</t>
  </si>
  <si>
    <t>https://www.lojalinklab.com.br/alcool-etilico-abs-hplc-plus-99-8-1l-controle-pc?parceiro=1142</t>
  </si>
  <si>
    <t>https://www.labimport.com.br/reagentes/alcool-etilico/alcool-etilico-absoluto-hplc-99-8-1-l-13979</t>
  </si>
  <si>
    <t>https://www.labimport.com.br/reagentes/alcool-propilico/alcool-propilico-iso-uvhplc-plus-1-l</t>
  </si>
  <si>
    <t>CATMAT -348275- ALCOOL ISOPROPILICO P.A. - PUREZA MÍNIMA: 99%; - GRAU: GRAU ANALÍTICO; - OBS.: O REAGENTE DEVERÁ VIR ACOMPANHADO DO LAUDO DO FABRICANTE COM NO MÍNIMO A ESPECIFICAÇÃO LISTADA ACIMA, FICHA TÉCNICA DE SEGURANÇA E NORMAS DE ACONDICIONAMENTO.</t>
  </si>
  <si>
    <t>348275</t>
  </si>
  <si>
    <t>ALCOOL ISOPROPILICO P.A</t>
  </si>
  <si>
    <t>CATMAT -348275- ALCOOL ISOPROPILICO P.A. - PUREZA MÍNIMA: 99%; - GRAU: GRAU ANALÍTICO; - OBS.: O REAGENTE DEVERÁ VIR ACOMPANHADO DO LAUDO DO FABRICANTE COM NO MÍNIMO A ESPECIFICAÇÃO LISTADA ACIMA, FICHA TÉCNICA DE SEGURANÇA E NORMAS DE ACONDICIONAMENTO. Entregue em frasco de vidro ambar.</t>
  </si>
  <si>
    <t>https://www.eplab.com.br/laboratorio/consumiveis/reagente/alcool-iso-propilico-pa-acs-780g-2-propanol-isopropanol-1-lt-dinamica?gad_source=4&amp;gclid=Cj0KCQjw-r-vBhC-ARIsAGgUO2C-95v_JBYY9_ch1b7-qhtCS0I-pA4ZJqXSOXNtNxGST0zYbI3VLH4aAm6yEALw_wcB</t>
  </si>
  <si>
    <t>https://www.orionprodutoscientificos.com.br/alcool-propilico-iso-pa-acs-2-propanol-1l-fabricante-exodo-cientifica?utm_source=Site&amp;utm_medium=GoogleMerchant&amp;utm_campaign=GoogleMerchant&amp;gad_source=4&amp;gclid=Cj0KCQjw-r-vBhC-ARIsAGgUO2A1L_u6_t7Jd-RtU6p1ZdIZ1hYaZ5ybs0BKInegbMMWmTGlWs067RQaAlg6EALw_wcB</t>
  </si>
  <si>
    <t>https://www.google.com/search?q=ALCOOL+ISOPROPILICO+P.A.&amp;client=firefox-b-lm&amp;sca_esv=1114ab6409594670&amp;tbm=shop&amp;sxsrf=ACQVn08zd8Ul5mj10IXGUmsFXCVT5V4zDg%3A1710249356158&amp;ei=jFXwZb_xCL_P1sQPl_SIsAs&amp;udm=&amp;ved=0ahUKEwi_5-aq5-6EAxW_p5UCHRc6ArYQ4dUDCAg&amp;uact=5&amp;oq=ALCOOL+ISOPROPILICO+P.A.&amp;gs_lp=Egtwcm9kdWN0cy1jYyIYQUxDT09MIElTT1BST1BJTElDTyBQLkEuSJUVUJMCWJMQcAB4AJABAJgBxwGgAYEEqgEDMC4zuAEDyAEA-AEC-AEBmAIAoAIAmAMAiAYBkgcAoAeCAg&amp;sclient=products-cc</t>
  </si>
  <si>
    <t>CATMAT -348276- ÁLCOOL PROPÍLICO, ASPECTO FÍSICO: LÍQUIDO LÍMPIDO, INCOLOR, ODOR CARACTERÍSTICO, FÓRMULA QUÍMICA: (CH3)2CHOH (ISOPROPÍLICO OU ISO-PROPANOL), PESO MOLECULAR : 60,10 G,MOL, GRAU DE PUREZA: PUREZA MÍNIMA DE 99,7%, CARACTERÍSTICA ADICIONAL: REAGENTE P, UV,HPLC, NÚMERO DE REFERÊNCIA QUÍMICA: CAS 67-63-0</t>
  </si>
  <si>
    <t>348276</t>
  </si>
  <si>
    <t>ÁLCOOL ISOPROPÍLICO UV/HPLC</t>
  </si>
  <si>
    <t>CATMAT -348276- Álcool propílico, aspecto físico: líquido límpido, incolor, odor característico, fórmula química: (ch3)2choh (isopropílico ou iso-propanol), peso molecular : 60,10 g,mol, grau de pureza: pureza mínima de 99,7%, característica adicional: reagente, UV, HPLC, número de referência química: cas 67-63-0. Entregue em frasco de vidro ambar.</t>
  </si>
  <si>
    <t>https://www.lojalinklab.com.br/alcool-propilico-normal-hplc-1l-controle-pc?parceiro=1142</t>
  </si>
  <si>
    <t>ÁLCOOL METÍLICO, ASPECTO FÍSICO:LÍQUIDO LÍMPIDO, INCOLOR, ODOR CARACTERÍSTICO, FÓRMULA QUÍMICA:CH3OH, PESO MOLECULAR:32,04 G/MOL, GRAU DE PUREZA:PUREZA MÍNIMA DE 99,8%, CARACTERÍSTICA ADICIONAL:REAGENTE P.A., NÚMERO DE REFERÊNCIA QUÍMICA:CAS 67-56-1</t>
  </si>
  <si>
    <t>348265</t>
  </si>
  <si>
    <t>ÁLCOOL METÍLICO P.A. ACS</t>
  </si>
  <si>
    <t>CATMAT - 348266 - Álcool metílico, aspecto físico: líquido límpido, incolor, odor característico, fórmula química: CH3OH, peso molecular: 32,04 g/mol, pureza mínima de 99,8%, característica adicional: reagente P.A. ACS, número de referência química: cas 67-56-1. Entregue em frasco de vidro ambar.</t>
  </si>
  <si>
    <t>https://www.lojalinklab.com.br/alcool-metilico-pa-acs-1l-controle-pc-controle-pc?parceiro=1142</t>
  </si>
  <si>
    <t>https://www.orionprodutoscientificos.com.br/alcool-metilico-pa-acs-1l-fabricante-exodo-cientifica</t>
  </si>
  <si>
    <t>https://www.labhouse.com.br/alcool-metilico-pa-acs-790g-metanol-1000ml</t>
  </si>
  <si>
    <t>ÁLCOOL METÍLICO (METANOL) HPLC/UV 1L</t>
  </si>
  <si>
    <t>425423</t>
  </si>
  <si>
    <t>ÁLCOOL METÍLICO UV HPLC</t>
  </si>
  <si>
    <t>CATMAT - 348267- Álcool metílico, aspecto físico líquido límpido, incolor, odor característico, fórmula química CH3OH, peso molecular 32,04 g/mol, grau de pureza mínima de 99,5%, características adicional reagente para UV HPLC, número de referência química: CAS 67-56-1. Entregue em frasco de vidro ambar.</t>
  </si>
  <si>
    <t>https://www.labimport.com.br/reagentes/alcool-metilico/alcool-metilico-metanol-hplcuv-plus-1-l</t>
  </si>
  <si>
    <t>https://www.orionprodutoscientificos.com.br/alcool-metilico-metanol-hplc-uv-plus-1l-fabricante-exodo-cientifica?utm_source=Site&amp;utm_medium=GoogleMerchant&amp;utm_campaign=GoogleMerchant</t>
  </si>
  <si>
    <t>https://www.didaticasp.com.br/produto/alcool-metilico-hplc-1l-cas-67-56-1-ssp.html</t>
  </si>
  <si>
    <t>CATMAT 348273 - ALCOOL PROPÍLICO, ASPECTO FÍSICO LÍQUIDO LÍMPIDO, INCOLOR, ODOR CARACTERÍSTICO, FÓRMULA QUÍMICA CH3(CH2)2OH (1-PROPANOL OU NORMAL), PESO MOLECULAR* 60,10, GRAU DE PUREZA PUREZA MÍNIMA DE 99,5%, CARACTERÍSTICA ADICIONAL REAGENTE P.A., NÚMERO DE REFERÊNCIA QUÍMICA CAS 71-23-8</t>
  </si>
  <si>
    <t>348273</t>
  </si>
  <si>
    <t>ÁLCOOL PROPÍLICO NORMAL P.A.</t>
  </si>
  <si>
    <t>CATMAT -348273 - Álcool propílico, aspecto físico líquido límpido, incolor, odor característico, fórmula química CH3(CH2)2OH (1-propanol ou normal), peso molecular 60,10 g/mol, pureza mínima de 99,5%, característica adicional reagente P.A., número de referência química CAS 71-23-8. Entregue em frasco de vidro ambar.</t>
  </si>
  <si>
    <t>https://www.lojalinklab.com.br/alcool-propilico-normal-pa-1l-controle-pc?parceiro=1142</t>
  </si>
  <si>
    <t>https://www.labimport.com.br/reagentes/alcool-propilico/alcool-propilico-iso-pa-acs-2-propanol-1-l</t>
  </si>
  <si>
    <t>https://www.orionprodutoscientificos.com.br/alcool-propilico-normal-pa-1-propanol-1l-fabricante-exodo-cientifica</t>
  </si>
  <si>
    <t>CATMAT -327506- CORANTE, TIPO: ALIZARINA, ASPECTO FÍSICO: PÓ, CARACTERÍSTICAS ADICIONAIS: CI 58000, P.A., CAS: 72-48-0, FRASCO COM 25 G</t>
  </si>
  <si>
    <t>327506</t>
  </si>
  <si>
    <t>ALIZARINA P.A. FRASCO 25 G</t>
  </si>
  <si>
    <t>CATMAT -327506- Corante, tipo: alizarina, fórmula química: C14H8O4, peso molecular: 240,21, aspecto físico: pó, características adicionais: ci 58000, P.A., cas: 72-48-0, frasco com 25 g.</t>
  </si>
  <si>
    <t>https://www.lojasynth.com/reagentes-analiticosmaterias-primas/reagentes-analiticosmaterias-primas/alizarina-ci-58000-p-a?parceiro=2827&amp;variant_id=301833&amp;gad_source=4&amp;gclid=Cj0KCQjw-r-vBhC-ARIsAGgUO2AVF67HYi_lEIsjVdCurMVgG0NLWUtTmuJEEvU4przcS_iMO9AcuhgaAqOlEALw_wcB</t>
  </si>
  <si>
    <t>https://www.orionprodutoscientificos.com.br/alizarina-ci-58000-pa-25g-exodo-cientifica</t>
  </si>
  <si>
    <t>https://www.carvalhaes.net/produto/detalhes/SY01A1090.01.AD/alizarina-ci58000-pa-25g</t>
  </si>
  <si>
    <t>CATMAT -376244- ALUMÍNIO, ASPECTO FÍSICO: PÓ FINÍSSIMO, PRATEADO, INODORO, FÓRMULA QUÍMICA: AL, PESO MOLECULAR: 26,98 G,MOL, GRAU DE PUREZA: PUREZA MÍNIMA DE 99,5%, NÚMERO DE REFERÊNCIA QUÍMICA: CAS 7429-90-5. ENTREGUE EM FRASCO COM 100 G. ATENÇÃO: OBSERVAR A UNIDADE DE MEDIDA DO SIPAC E COLOCAR MÚLTIPLO DE 100 G.</t>
  </si>
  <si>
    <t>376244</t>
  </si>
  <si>
    <t>ALUMÍNIO EM PÓ</t>
  </si>
  <si>
    <t>CATMAT -376244- ALUMÍNIO, ASPECTO FÍSICO: PÓ FINÍSSIMO, PRATEADO, INODORO, FÓRMULA QUÍMICA: AL, PESO MOLECULAR: 26,98 G,MOL, GRAU DE PUREZA: PUREZA MÍNIMA DE 99,5%, NÚMERO DE REFERÊNCIA QUÍMICA: CAS 7429-90-5. Entregue em frasco com 250 g. Atenção: observar a unidade de medida do SIPAC e colocar múltiplo de 250 g.</t>
  </si>
  <si>
    <t>Ana Paula</t>
  </si>
  <si>
    <t>ALUMINIO EM PÓ 99,7% PA | Reagentes Químicos | Produtos para Laboratório | ACS Científica (lojaacscientifica.com.br)</t>
  </si>
  <si>
    <t>Orbital - Produtos Para Laboratórios (orbitallab.com.br)</t>
  </si>
  <si>
    <t xml:space="preserve">CATMAT - 432146 - AMIDO, ASPECTO FÍSICO: PÓ FINO BRANCO A ESBRANQUIÇADO, INODORO, FÓRMULA QUÍMICA: (C6H10O5)N, GRAU DE PUREZA: RESÍDUOS DE IGNIÇÃO MÁXIMA 0,4%, CARACTERÍSTICA ADICIONAL: REAGENTE P.A. ACS, NÚMERO DE REFERÊNCIA QUÍMICA: CAS 9005-84-9.
</t>
  </si>
  <si>
    <t>432146</t>
  </si>
  <si>
    <t>AMIDO P.A. ACS</t>
  </si>
  <si>
    <t>CATMAT - 432146 - Amido, aspecto físico: pó fino branco a esbranquiçado, inodoro, característica adicional: reagente P.A. ACS, número de referência química: CAS 9005-84-9, entregue em frasco com 500 g. Atenção: observar a unidade de medida do SIPAC e colocar múltiplo de 500 g.</t>
  </si>
  <si>
    <t>https://www.lojaacscientifica.com.br/amido-soluvel-pa-acs?variation=13088666</t>
  </si>
  <si>
    <t>https://www.lojanetlab.com.br/reagentes/pa/amido-soluvel-pa-acs?gad_source=1&amp;gclid=Cj0KCQjw-r-vBhC-ARIsAGgUO2DF_9FytKKQv6Oyq2cYh2f2Iw3_LhZ-5P3gNFxKYmnv_RlV6Du1zQEaAhUkEALw_wcB</t>
  </si>
  <si>
    <t>https://www.lojasynth.com/reagentes-analiticosmaterias-primas/reagentes-analiticosmaterias-primas/amido-soluvel-p-a?variant_id=301388</t>
  </si>
  <si>
    <t>CATMAT -348966- ANIDRIDO ACÉTICO, ASPECTO FÍSICO LÍQUIDO INCOLOR, TRANSLÚCIDO, ODOR PICANTE, PESO MOLECULAR 102,09, FÓRMULA QUÍMICA CH3CO)2O, GRAU DE PUREZA PUREZA MÍNIMA DE 97%, CARACTERÍSTICA ADICIONAL REAGENTE P.A., NÚMERO DE REFERÊNCIA QUÍMICA CAS 108-24-7. FRASCO COM 500 ML.</t>
  </si>
  <si>
    <t>348966</t>
  </si>
  <si>
    <t>ANIDRO ACÉTICO P.A.</t>
  </si>
  <si>
    <t>CATMAT -348966- anidrido acético, aspecto físico líquido incolor, translúcido, odor picante, peso molecular 102,09, fórmula química ch3co)2o, grau de pureza pureza mínima de 97%, característica adicional reagente p.a., número de referência química cas 108-24-7. Frasco com 500 mL.</t>
  </si>
  <si>
    <t>https://www.didaticasp.com.br/produto/anidro-acetico-pa-1l-cas-108-24-7-pfssp-concentracao-97-densidade-108.html</t>
  </si>
  <si>
    <t>21000000366 - ANTRONA, ASPECTO FÍSICO: PÓ AMARELO, PESO MOLECULAR: 194,23 G/MOL, FÓRMULA QUÍMICA: C14H10O, PUREZA MÍNIMA DE 97%, CARACTERÍSTICA ADICIONAL: REAGENTE P.A. OU ACS OU P.A. ACS, NÚMERO DE REFERÊNCIA QUÍMICA: CAS 90-44-8. ENTREGUE EM FRASCO DE 25 G. ATENÇÃO: OBSERVAR A UNIDADE DE MEDIDA DO SIPAC E COLOCAR MÚLTIPLO DE 25 G.</t>
  </si>
  <si>
    <t>453042</t>
  </si>
  <si>
    <t>ANTRONA P.A.</t>
  </si>
  <si>
    <t>CATMAT -453042- Antrona, aspecto físico: pó amarelo, peso molecular: 194,23 g/mol, fórmula química: C14H10O, pureza mínima de 97%, característica adicional: reagente P.A. OU ACS OU P.A. ACS, número de referência química: CAS 90-44-8. Entregue em frasco de 25 g. Atenção: observar a unidade de medida do SIPAC e colocar múltiplo de 25 g.</t>
  </si>
  <si>
    <t>https://www.lojaacscientifica.com.br/antrona-pa-embalagem-25g</t>
  </si>
  <si>
    <t>https://www.labimport.com.br/reagentes/antrona/antrona-pa-acs-25g</t>
  </si>
  <si>
    <t>https://www.lojaprolab.com.br/antrona-pa-acs-81227</t>
  </si>
  <si>
    <t>CATMAT - 363453 - AZIDA SÓDICA, FÓRMULA MOLECULAR: NAN3, MASSA MOLAR: 65,01 G/MOL, ASPECTO FÍSICO: PÓ BRANCO CRISTALINO OU CRISTAL INCOLOR, INODORO, GRAU DE PUREZA: PUREZA MÍNIMA DE 99%, CARACTERÍSTICA ADICIONAL: REAGENTE P.A., NÚMERO DE REFERÊNCIA QUÍMICA: CAS 26628-22-8. ENTREGUE EM FRASCOS DE 100 G.</t>
  </si>
  <si>
    <t>363453</t>
  </si>
  <si>
    <t>AZIDA SÓDICA P.A.</t>
  </si>
  <si>
    <t>CATMAT -363453- AZIDA SÓDICA, FÓRMULA MOLECULAR: NAN3, MASSA MOLAR: 65,01 G/MOL, ASPECTO FÍSICO: PÓ BRANCO CRISTALINO OU CRISTAL INCOLOR, INODORO, GRAU DE PUREZA: PUREZA MÍNIMA DE 99%, CARACTERÍSTICA ADICIONAL: REAGENTE P.A., NÚMERO DE REFERÊNCIA QUÍMICA: CAS 26628-22-8. Entregue em frasco de 100 g. Atenção: observar a unidade de medida do SIPAC e colocar múltiplo de 100 g.</t>
  </si>
  <si>
    <t>https://www.lojalinklab.com.br/azida-sodica-pa-100g-controle-eb-e-pc?parceiro=1142</t>
  </si>
  <si>
    <t>CATMAT 327372 - CORANTE, TIPO AZUL ALCIAN, ASPECTO FÍSICO PÓ, CARACTERÍSTICAS ADICIONAIS CI 74240. FRASCO 10 G.</t>
  </si>
  <si>
    <t>327372</t>
  </si>
  <si>
    <t xml:space="preserve">AZUL ALCIAN FRASCO 10G </t>
  </si>
  <si>
    <t>https://www.lojanetlab.com.br/azul-de-alcian-ci-74240-10gr-dinamica</t>
  </si>
  <si>
    <t>https://www.orionprodutoscientificos.com.br/azul-de-alcian-alcian-blue-ci-74240-10g-exodo-cientifica?utm_source=Site&amp;utm_medium=GoogleMerchant&amp;utm_campaign=GoogleMerchant</t>
  </si>
  <si>
    <t>https://www.lojaprolab.com.br/azul-de-alcian-ci-74240-81240</t>
  </si>
  <si>
    <t>AZUL DE COOMASSIE BRILHANTE R250
1 FRASCO DE 25MG.</t>
  </si>
  <si>
    <t>111111</t>
  </si>
  <si>
    <t>AZUL BRILHANTE COOMASSIE G-250 FRASCO 25 G</t>
  </si>
  <si>
    <t>CATMAT -358554- Corante, tipo azul brilhante coomassie G-250, aspecto físico pó, características adicionais ci 42655, frasco 25 g.</t>
  </si>
  <si>
    <t>https://www.labimport.com.br/reagentes/azul-de-coomassie/azul-de-coomassie-brilhante-g250-ci-42655-25g</t>
  </si>
  <si>
    <t>https://www.bclab.com.br/quimicos-reagentes/azul-de-coomassie-brilhante-g250-ci-42655-25g-acs-cientifica</t>
  </si>
  <si>
    <t>https://www.lojaacscientifica.com.br/azul-de-coomassie-brilhante-g-250-ci42655-embalagem-25g</t>
  </si>
  <si>
    <t>CATMAT -346660- CORANTE, TIPO: AZUL DE ASTRA, ASPECTO FÍSICO: PÓ. CI. 48048, CAS: 82864-57-1, FRASCO COM 10 G,</t>
  </si>
  <si>
    <t>346660</t>
  </si>
  <si>
    <t>AZUL DE ASTRA CI. 48048 FRASCO 10 G</t>
  </si>
  <si>
    <t>CATMAT -346660- Corante, tipo: azul de astra, aspecto físico: pó. CI. 48048, CAS: 82864-57-1, Frasco com 10 g,</t>
  </si>
  <si>
    <t>https://www.lojaacscientifica.com.br/azul-de-astra-ci-48048-embalagem-10g</t>
  </si>
  <si>
    <t>https://www.labimport.com.br/reagentes/azul-de-astra/azul-de-astra-ci-48048-10g</t>
  </si>
  <si>
    <t>https://www.bclab.com.br/quimicos-reagentes/azul-de-astra-ci-48048-10g-acs-cientifica</t>
  </si>
  <si>
    <t xml:space="preserve">CATMAT -445240- AZUL DE BROMOTIMOL COMPOSIÇÃO QUÍMICA C27H28BR2O5S, ASPECTO FÍSICO: PÓ, MASSA MOLAR 624,40 G/MOL, CARACTERÍSTICA ADICIONAL REAGENTE P.A., NÚMERO DE REFERÊNCIA QUÍMICA CAS 76-59-5, ENTREGUE EM FRASCO COM 25 G. ATENÇÃO: OBSERVAR A UNIDADE DE MEDIDA DO SIPAC E COLOCAR MÚLTIPLO DE 25 G.
</t>
  </si>
  <si>
    <t>445240</t>
  </si>
  <si>
    <t>AZUL DE BROMOTIMOL P.A.</t>
  </si>
  <si>
    <t>CATMAT -445240- Azul de bromotimol composição química C27H28Br2O5S, aspecto físico: pó, massa molar 624,40 g/mol, característica adicional reagente P.A., número de referência química CAS 76-59-5, entregue em frasco com 5 g. Atenção: observar a unidade de medida do SIPAC e colocar múltiplo de 5 g.</t>
  </si>
  <si>
    <t>https://www.orionprodutoscientificos.com.br/azul-de-bromotimol-p-a-acs-5-g-fabricante-neon?utm_source=Site&amp;utm_medium=GoogleMerchant&amp;utm_campaign=GoogleMerchant</t>
  </si>
  <si>
    <t>https://www.eplab.com.br/laboratorio/consumiveis/reagente/copia-azul-de-bromotimol-pa-acs-5g-dinamica</t>
  </si>
  <si>
    <t>https://www.forlabexpress.com.br/azul-de-bromotimol-pa-5g-acs-cientifica/?srsltid=AfmBOorRHlc_jRmOCT2NjAdrVovdMJDcyBxiTxCBcYw0GB8zzZe_avVr0NI</t>
  </si>
  <si>
    <t>CATMAT -327374- CORANTE, TIPO: AZUL DE METILA, ASPECTO FÍSICO: PÓ, CARACTERÍSTICAS ADICIONAIS: CI 42780. FRASCO COM 25 G</t>
  </si>
  <si>
    <t>327374</t>
  </si>
  <si>
    <t>AZUL DE METILA CI 42780 FRASCO 25 G</t>
  </si>
  <si>
    <t>CATMAT -327374- Corante, tipo: azul de metila, aspecto físico: pó, características adicionais: ci 42780</t>
  </si>
  <si>
    <t>https://www.lojaacscientifica.com.br/azul-de-metila-ci42780-embalagem-25g</t>
  </si>
  <si>
    <t>https://www.orionprodutoscientificos.com.br/azul-de-metila-ci-42780-25g-exodo-cientifica</t>
  </si>
  <si>
    <t>https://www.bclab.com.br/quimicos-reagentes/azul-de-metila-ci-42780-25g-acs-cientifica</t>
  </si>
  <si>
    <t>CATMAT - 329774 DESCRIÇÃO: CORANTE, TIPO: AZUL DE METILENO, ASPECTO FÍSICO: LÍQUIDO, CARACTERÍSTICAS ADICIONAIS: CI 52015, FRASCO COM 1000 ML</t>
  </si>
  <si>
    <t>329774</t>
  </si>
  <si>
    <t>AZUL DE METILENO (SOLUÇÃO) FRASCO 1000 ML SOLUÇÃO 1%</t>
  </si>
  <si>
    <t>CATMAT - 329774 Descrição: Corante, tipo: azul de metileno, aspecto físico: líquido, características adicionais: CI 52015, número de referência química: CAS 122965-43-9, frasco 1000 mL.</t>
  </si>
  <si>
    <t>https://www.lojalinklab.com.br/azul-de-metileno-sol-1-1l-sem-controle?parceiro=1142&amp;utm_medium=cpc&amp;utm_source=google&amp;utm_campaign=20614034119&amp;utm_content=__c_&amp;utm_term=&amp;utm_local=&amp;utm_device=c&amp;gad_source=4&amp;gclid=CjwKCAjwzN-vBhAkEiwAYiO7oCktzgq4Wc1c5a7uxTthGDLlUa5mO-TV71sUH8nQBKKHu97tHHRYBRoCfz0QAvD_BwE</t>
  </si>
  <si>
    <t>https://www.labimport.com.br/reagentes/azul-de-metileno/azul-de-metileno-solucao-1-alcoolica-1-l</t>
  </si>
  <si>
    <t>https://www.ciruvix.com.br/azul-de-metileno-solucao-1-1lt-neon</t>
  </si>
  <si>
    <t>AZUL DE METILENO - FORMULA QUIMICA: C16H18CIN3S, PESO MOLECULAR: 319.85, CONCENTRAÇÃO: 1.5% (1.5 G/ 100 ML), DENSIDADE: 1.0 G/ML AT 20 °C. FRASCO COM 25 G.</t>
  </si>
  <si>
    <t>331361</t>
  </si>
  <si>
    <t>AZUL DE METILENO CI 52015 FRASCO 25 G</t>
  </si>
  <si>
    <t>CATMAT -331361- Azul de metileno, aspecto físico pó, fórmula química: C16H18CIN3S.3H2O, peso molecular: 373,90 g/mol, características adicionais CI 52015. Frasco com 25g.</t>
  </si>
  <si>
    <t>https://www.labimport.com.br/reagentes/azul-de-metileno/azul-de-metileno-ci-52015-25g-11739</t>
  </si>
  <si>
    <t>https://www.orionprodutoscientificos.com.br/azul-de-metileno-ci-52015-25g-exodo-cientifica?utm_source=Site&amp;utm_medium=GoogleMerchant&amp;utm_campaign=GoogleMerchant</t>
  </si>
  <si>
    <t>https://www.forlabexpress.com.br/azul-de-metileno-ci-52015-25g-acs-cientifica/?srsltid=AfmBOorhr31ICuViqQvYE6qazQlWN1CE3Pqn8_QB_tvhGw99wXdiqxe2U54</t>
  </si>
  <si>
    <t xml:space="preserve">CATMAT -401189- BICARBONATO DE SÓDIO, ASPECTO FÍSICO: PÓ BRANCO, FINO, PESO MOLECULAR: 84,01 G/MOL, FÓRMULA QUÍMICA: NAHCO3, PUREZA MÍNIMA DE 99%, CARACTERÍSTICA ADICIONAL: REAGENTE P.A., NÚMERO DE REFERÊNCIA QUÍMICA CAS 144-55-8, ENTREGUE EM FRASCO COM 500 G. ATENÇÃO: OBSERVAR A UNIDADE DE MEDIDA DO SIPAC E COLOCAR MÚLTIPLO DE 500 G.
</t>
  </si>
  <si>
    <t>401189</t>
  </si>
  <si>
    <t>BICARBONATO DE SÓDIO P.A.</t>
  </si>
  <si>
    <t>CATMAT -401189- Bicarbonato de sódio, aspecto físico: pó branco, fino, peso molecular: 84,01 g/mol, fórmula química: NaHCO3, pureza mínima de 99%, característica adicional: reagente P.A., número de referência química CAS 144-55-8, entregue em frasco com 500 g. Atenção: observar a unidade de medida do SIPAC e colocar múltiplo de 500 g.</t>
  </si>
  <si>
    <t>Priscilla</t>
  </si>
  <si>
    <t>https://www.labimport.com.br/reagentes/bicarbonato-de-sodio/bicarbonato-de-sodio-pa-500g-11755</t>
  </si>
  <si>
    <t>https://www.lojaacscientifica.com.br/bicarbonato-de-sodio-pa?variation=13088756</t>
  </si>
  <si>
    <t>https://www.lojalinklab.com.br/bicarbonato-de-sodio-pa-500g-controle-pc?parceiro=1142</t>
  </si>
  <si>
    <t>CATMAT -366468- BIFTALATO DE POTÁSSIO, ASPECTO FÍSICO: PÓ OU CRISTAL BRANCO OU INCOLOR, INODORO, PESO MOLECULAR: 204,22 G/MOL, FÓRMULA QUÍMICA: C8H5KO4, PUREZA MÍNIMA DE 99,5%, CARACTERÍSTICA ADICIONAL: REAGENTE P.A., NÚMERO DE REFERÊNCIA QUÍMICA: CAS 877-24-7, ENTREGUE EM FRASCO COM 500 G. ATENÇÃO: OBSERVAR A UNIDADE DE MEDIDA DO SIPAC E COLOCAR MÚLTIPLO DE 500 G.</t>
  </si>
  <si>
    <t>366468</t>
  </si>
  <si>
    <t>BIFTALATO DE POTÁSSIO P.A.</t>
  </si>
  <si>
    <t>CATMAT -366468- Biftalato de potássio, aspecto físico: pó ou cristal branco ou incolor, inodoro, peso molecular: 204,22 g/mol, fórmula química: C8H5KO4, pureza mínima de 99,5%, característica adicional: reagente P.A., número de referência química: CAS 877-24-7, entregue em frasco com 500 g. Atenção: observar a unidade de medida do SIPAC e colocar múltiplo de 500 g.</t>
  </si>
  <si>
    <t>https://www.labimport.com.br/reagentes/biftalato-de-potassio/biftalato-de-potassio-pa-500g-11757</t>
  </si>
  <si>
    <t>https://www.lojaacscientifica.com.br/biftalato-de-potassio-pa</t>
  </si>
  <si>
    <t>https://www.laderquimica.com.br/biftalato-potassio-pa-500gr?utm_source=Site&amp;utm_medium=GoogleMerchant&amp;utm_campaign=GoogleMerchant&amp;srsltid=AfmBOoryt-8pEZz3Ml0jKxX5OitszviIQLwHCLNlaiMQsbFpDuwhb4-_mOg</t>
  </si>
  <si>
    <t>CATMAT -359904- BIOTINA; FÓRMULA QUÍMICA: C10H16N2O3S; PESO MOLECULAR: 244.31 G/MOL; GRAU DE PUREZA MÍNIMA: 97,5% (TLC); NÚMERO DE REFERÊNCIA QUÍMICA: CAS: 58-85-5.</t>
  </si>
  <si>
    <t>359904</t>
  </si>
  <si>
    <t>alterado para o fras 10 g que é mais comum, mas poderia ser 5 ou 1 g para duas cotaçẽos.</t>
  </si>
  <si>
    <t>Biotina (Vitamina H)</t>
  </si>
  <si>
    <t>CATMAT -359904- BIOTINA; FÓRMULA QUÍMICA: C10H16N2O3S; PESO MOLECULAR: 244.31 G/MOL; GRAU DE PUREZA MÍNIMA: 97,5% (TLC); NÚMERO DE REFERÊNCIA QUÍMICA: CAS: 58-85-5. entregue em fraco de 10 g. Atenção: observar a unidade de medida do SIPAC e colocar múltiplo de 10 g.</t>
  </si>
  <si>
    <t>https://www.orionprodutoscientificos.com.br/biotina-99-vitamina-h-10g-exodo-cientifica</t>
  </si>
  <si>
    <t>https://www.lojaacscientifica.com.br/biotina-99-vitamina-h?variation=13088769</t>
  </si>
  <si>
    <t>https://www.bclab.com.br/quimicos-reagentes/biotina-99-vitamina-h-acs-cientifica?variant_id=2423</t>
  </si>
  <si>
    <t>CATMAT -382201- BROMETO DE CETILTRIMETILAMÔNIO, ASPECTO FÍSICO: PÓ BRANCO CRISTALINO, FÓRMULA QUÍMICA: (CH3)(CH2)15N(BR)(CH3)3, PESO MOLECULAR: 364,45 G/MOL, PUREZA MÍNIMA DE 99%, NÚMERO DE REFERÊNCIA QUÍMICA: CAS: 57-09-0, ENTREGUE EM FRACO DE 100 G. ATENÇÃO: OBSERVAR A UNIDADE DE MEDIDA DO SIPAC E COLOCAR MÚLTIPLO DE 100 G.</t>
  </si>
  <si>
    <t>382201</t>
  </si>
  <si>
    <t>BROMETO DE CETILTRIMETILAMONIO (CTAB)</t>
  </si>
  <si>
    <t>CATMAT -382201- Brometo de cetiltrimetilamônio, aspecto físico: pó branco cristalino, fórmula química: (CH3)(CH2)15N(Br)(ch3)3, peso molecular: 364,45 g/mol, pureza mínima de 99%, número de referência química: CAS: 57-09-0, entregue em fraco de 100 g. Atenção: observar a unidade de medida do SIPAC e colocar múltiplo de 100 g.</t>
  </si>
  <si>
    <t>https://www.labimport.com.br/reagentes/brometo-de-cetiltrimetilamonio/brometo-de-cetiltrimetilamonio-ctab-100g</t>
  </si>
  <si>
    <t>https://www.orionprodutoscientificos.com.br/brometo-de-cetiltrimetilamonio-ctab-100g-exodo-cientifica?utm_source=Site&amp;utm_medium=GoogleMerchant&amp;utm_campaign=GoogleMerchant</t>
  </si>
  <si>
    <t>https://www.lojaacscientifica.com.br/brometo-de-cetiltrimetilamonio-ctab?variation=13088791</t>
  </si>
  <si>
    <t>CATMAT -347625- BROMETO DE POTÁSSIO, ASPECTO FÍSICO: CRISTAL INCOLOR OU ESBRANQUIÇADO, INODORO, PESO MOLECULAR: 119 G/MOL, FÓRMULA QUÍMICA: KBR, PUREZA MÍNIMA DE 99%, CARACTERÍSTICA ADICIONAL: REAGENTE P.A., NÚMERO DE REFERÊNCIA QUÍMICA: CAS 7758-02-3, ENTREGUE EM FRASCO DE 250 G. ATENÇÃO: OBSERVAR A UNIDADE DE MEDIDA DO SIPAC E COLOCAR MÚLTIPLO DE 250 G.</t>
  </si>
  <si>
    <t>347625</t>
  </si>
  <si>
    <t>BROMETO DE POTÁSSIO P.A.</t>
  </si>
  <si>
    <t>CATMAT -347625- Brometo de potássio, aspecto físico: cristal incolor ou esbranquiçado, inodoro, peso molecular: 119 g/mol, fórmula química: KBr, pureza mínima de 99%, característica adicional: reagente P.A., número de referência química: CAS 7758-02-3, entregue em frasco de 250 g. Atenção: observar a unidade de medida do SIPAC e colocar múltiplo de 250 g.</t>
  </si>
  <si>
    <t>https://www.labimport.com.br/reagentes/brometo-de-potassio/brometo-de-potassio-pa-250g</t>
  </si>
  <si>
    <t>https://www.orionprodutoscientificos.com.br/bromato-de-potassio-pa-acs-250g-exodo-cientifica?utm_source=Site&amp;utm_medium=GoogleMerchant&amp;utm_campaign=GoogleMerchant</t>
  </si>
  <si>
    <t>https://www.lojaacscientifica.com.br/brometo-de-potassio-pa?variation=13088805</t>
  </si>
  <si>
    <t>HIDROXITOLUENO BUTILADO (BHT)</t>
  </si>
  <si>
    <t>372976</t>
  </si>
  <si>
    <t>BUTIL HIDROXI TOLUOL P.A. (BHT)</t>
  </si>
  <si>
    <t>CATMAT -372976- HIDROXITOLUENO BUTILADO (BHT), ASPECTO FÍSICO:PÓ BRANCO CRISTALINO, FÓRMULA QUÍMICA:C15H24O, PESO MOLECULAR:220,36 G/MOL, GRAU DE PUREZA:PUREZA MÍNIMA DE 99,5%, NÚMERO DE REFERÊNCIA QUÍMICA:CAS 128-37-0, Entregue em frasco com 500 g. Atenção: observar a unidade de medida do SIPAC e colocar múltiplo de 500 g.</t>
  </si>
  <si>
    <t>https://www.labimport.com.br/reagentes/butil-hidroxi-toluol/butil-hidroxi-toluol-b-h-t-pa-500g</t>
  </si>
  <si>
    <t>https://www.lojaacscientifica.com.br/butil-hidroxi-toluol-bht-pa-embalagem-500g</t>
  </si>
  <si>
    <t>https://www.orionprodutoscientificos.com.br/butil-hidroxi-toluol-b-h-t-pa-500g-exodo-cientifica?utm_source=Site&amp;utm_medium=GoogleMerchant&amp;utm_campaign=GoogleMerchant</t>
  </si>
  <si>
    <t>CALDO BHI - CALDO INFUSÃO CÉREBRO CORAÇÃO (BHI) - FRASCO 500G. REAGENTE CARACTERÍSTICAS ADICIONAIS 1: DESIDRATADO; TIPO 2: INFUSÃO DE CÉREBRO E CORAÇÃO; COMPONENTES 3: CALDO BHI; APLICAÇÃO 3: CULTURA DE FUNGO E BACTÉRIA, STAPHYLOCOCC</t>
  </si>
  <si>
    <t>305061</t>
  </si>
  <si>
    <t>CALDO CÉREBRO E CORAÇÃO (BRAIN HEART INFUSION BHI) FRASCO 500 G</t>
  </si>
  <si>
    <t>CATMAT -326882- Caldo cérebro e coração (BRAIN HEART INFUSION BHI) Meio de cultura, apresentação: pó, Frasco com 500 g</t>
  </si>
  <si>
    <t>https://www.dsyslab.com.br/meios-de-cultura/caldo/caldo-bhi-bhi-brothcaldo-infusao-de-cerebro-e-coracao-frasco-com-500-gramas-kasvi?parceiro=7063&amp;srsltid=AfmBOopRRDBo_FjibRCr9et0XFdNO60AgWuW3H5OiiULT5r8YbwB2sq6t1U</t>
  </si>
  <si>
    <t>https://www.forlabexpress.com.br/caldo-infusao-cerebro-e-coracao-bhi-500g-himedia/?srsltid=AfmBOori7OjH7uGzqjq_IxvqV4CAUesPGJv2tDK1_dIX_84cWalIkn-0N6w</t>
  </si>
  <si>
    <t>https://www.orionprodutoscientificos.com.br/caldo-infusao-cerebro-e-coracao-bhi-frasco-500g-himedia</t>
  </si>
  <si>
    <t>CATMAT - 326307 - MEIO DE CULTURA, TIPO: CALDO LAURIL SULFATO, APRESENTAÇÃO: PÓ. ENTREGUE EM FRASCOS DE 500 G.</t>
  </si>
  <si>
    <t>326307</t>
  </si>
  <si>
    <t>CALDO LAURIL TRIPTOSE (CALDO LAURIL SULFATO) 500 G</t>
  </si>
  <si>
    <t>CATMAT - 326307- Meio de cultura, tipo: Caldo lauril triptose (caldo lauril sulfato), apresentação: pó. Frasco com 500 G.</t>
  </si>
  <si>
    <t>https://www.lojaprolab.com.br/caldo-lauril-triptose-80479?utm_source=google&amp;utm_medium=feed&amp;utm_campaign=shopping&amp;gad_source=4&amp;gclid=CjwKCAiA6KWvBhAREiwAFPZM7mT7eaT2TsTuJH8dbSrGY9XfNmagXEjtNsQSc9UVdQccvLqaf4LK4hoCqKUQAvD_BwE</t>
  </si>
  <si>
    <t>https://www.dsyslab.com.br/meios-de-cultura/caldo/caldo-lauril-triptose-lauryl-sulphate-broth-frasco-com-500-gramas-himedia?parceiro=7063&amp;srsltid=AfmBOooMduKlMy7p0rmeuKSsN0smJ7gyE22hPayRlVOvQmoxThz7qUEpJl4</t>
  </si>
  <si>
    <t>https://www.forlabexpress.com.br/caldo-lauril-triptose-kasvi-frasco-500g/?srsltid=AfmBOopRTFxakW2DFC5AdwWl3fOPg_9NP9F1R_BdoBpJCD6IiCDwiG3Eero</t>
  </si>
  <si>
    <t>CALDO MUELLER HINTON - MEIO DE CULTURA; APRESENTAÇÃO: PÓ. FRASCO 500 G.</t>
  </si>
  <si>
    <t>326883</t>
  </si>
  <si>
    <t>CALDO MUELLER HINTON FRASCO 500 G</t>
  </si>
  <si>
    <t>CATMAT -326883- CALDO MUELLER HINTON - MEIO DE CULTURA; APRESENTAÇÃO: PÓ. FRASCO 500 G.</t>
  </si>
  <si>
    <t>https://www.eplab.com.br/laboratorio/consumo/meio-de-cultura/caldo-mueller-hinton-frasco-500-g-k25-1214?gad_source=4&amp;gclid=CjwKCAiA6KWvBhAREiwAFPZM7rp7oPIvD_sz81n5opk-8um5PZoXoXQneZJ6ry7UqXh7EwWeMnNEThoCCrwQAvD_BwE</t>
  </si>
  <si>
    <t>https://www.laborchemiker.com.br/produto.php?cod_produto=4527820&amp;gad_source=4&amp;gclid=CjwKCAiA6KWvBhAREiwAFPZM7jfQu2lLapzFRLNub5DOTIRqwiq6jlfjbAU6SUQVEDKRkON30UwzABoCmCkQAvD_BwE</t>
  </si>
  <si>
    <t>https://www.prismalab.com.br/meios-de-cultura/caldo-mueller-hinton-frasco-500g-k25-1214-kasvi?parceiro=1805&amp;gad_source=4&amp;gclid=CjwKCAiA6KWvBhAREiwAFPZM7qJbdEEaDwQLerwujOsHcgYi3xWdg9uL4QtTRv0cCJrScDgT2KX8TBoCWWkQAvD_BwE</t>
  </si>
  <si>
    <t>CATMAT -415707- MEIO DE CULTURA,, TIPO: CALDO NUTRIENTE, APRESENTAÇÃO: PÓ, FRASCO 500 G</t>
  </si>
  <si>
    <t>415707</t>
  </si>
  <si>
    <t>CALDO NUTRIENTE 500 G</t>
  </si>
  <si>
    <t>CATMAT -326883- CALDO NUTRIENTE, APRESENTAÇÃO: PÓ, FRASCO 500 G</t>
  </si>
  <si>
    <t>https://www.lojaprolab.com.br/caldo-nutriente-80490?utm_source=google&amp;utm_medium=feed&amp;utm_campaign=shopping&amp;gad_source=4&amp;gclid=CjwKCAiA6KWvBhAREiwAFPZM7njoPsA-22NyXCfkDbmWu-8ZqlDdSgeioqSvsavWQ42eO7CgyBqALBoCwTkQAvD_BwE</t>
  </si>
  <si>
    <t>https://www.prismalab.com.br/meios-de-cultura/caldo-nutriente-frasco-500g-k25-1216-kasvi?parceiro=1805&amp;gad_source=4&amp;gclid=CjwKCAiA6KWvBhAREiwAFPZM7jRitFsjVN-STZOdUToQPpgF2vO5lgxpuKUEJ0yBr33ibmzeDkZwcRoC9_oQAvD_BwE</t>
  </si>
  <si>
    <t>https://www.biosynesis.com.br/produto/caldo-nutriente-frasco-500-g.html?utm_source=Site&amp;utm_medium=GoogleMerchant&amp;utm_campaign=GoogleMerchant&amp;gad_source=4&amp;gclid=CjwKCAiA6KWvBhAREiwAFPZM7jHq0KO3q4gYXmB3IFmsJ4e7VxP1HRmyOZmRG1Po7C8PUYlxLla_YBoCfmYQAvD_BwE</t>
  </si>
  <si>
    <t>CALDO RAPPAPORT VARSILLIADIS</t>
  </si>
  <si>
    <t>CALDO RAPPAPORT VARSILLIADS 500G</t>
  </si>
  <si>
    <t>CATMAT - 456857 Descrição: Meio de cultura, tipo : caldo rappaport-vassiliadis modificado, apresentação : pó. Frasco com 500 G.</t>
  </si>
  <si>
    <t>https://www.lojaprolab.com.br/caldo-rappaport-vassiliadis-80492?utm_source=google&amp;utm_medium=feed&amp;utm_campaign=shopping&amp;gad_source=1&amp;gclid=CjwKCAjwkuqvBhAQEiwA65XxQPiwvNlN3VibDiYomUqYTXQ6iWkiQlJi7lzOqa5FkkvfLfL2kklMAxoCp5QQAvD_BwE</t>
  </si>
  <si>
    <t>https://www.lkpdiagnosticos.com.br/meios-de-cultura/7512-caldo-rappaport-vassiliadis-rappaport-vassiliadis-r10-broth-500g?parceiro=3898&amp;gad_source=1&amp;gclid=CjwKCAjwkuqvBhAQEiwA65XxQE3e9B8ZE2TKU6M-jLJQ9GiSekr5t_J48gLMojHRn47d9QoVuDwG_hoClMsQAvD_BwE</t>
  </si>
  <si>
    <t>https://www.lojalab.com.br/produtos/caldo-rappaport-vassiliadis-r10/?variant=707132424&amp;pf=mc&amp;gad_source=4&amp;gclid=CjwKCAiA6KWvBhAREiwAFPZM7iZ1vrkG_IbLOeM6h5nteIClMu60_AOeHFQWG16KTASPRb7JDiGa6xoCQWgQAvD_BwE</t>
  </si>
  <si>
    <t xml:space="preserve">CALDO SABOURAUD DEXTROSE FRASCO 500G	</t>
  </si>
  <si>
    <t>454033</t>
  </si>
  <si>
    <t>CALDO SABOURAUD DEXTROSE FRASCO 500G</t>
  </si>
  <si>
    <t>CATMAT - 429633- Tipo: Caldo Sabouraud Dextrose Apresentação: Pó. Frasco com 500 G.</t>
  </si>
  <si>
    <t>https://www.biosynesis.com.br/produto/caldo-sabouraud-dextrose-frasco-500-g.html?utm_source=Site&amp;utm_medium=GoogleMerchant&amp;utm_campaign=GoogleMerchant&amp;gad_source=4&amp;gclid=CjwKCAiA6KWvBhAREiwAFPZM7s-yeS5GkzkOweGBRPYc-U8QyIu0iRg58JXwMYcYTjDFHXS2MuJ9SRoCmnYQAvD_BwE</t>
  </si>
  <si>
    <t>https://www.prismalab.com.br/meios-de-cultura/caldo-sabouraud-dextrose-frasco-500g-k25-1205-kasvi?parceiro=1805&amp;gad_source=4&amp;gclid=CjwKCAiA6KWvBhAREiwAFPZM7mymh0OX2vgk0gtm4mY3XiTUD2AOn11xFQAYf-tIHAgHCQH7H6VhsBoCNmcQAvD_BwE</t>
  </si>
  <si>
    <t>https://www.dsyslab.com.br/www-dsyslab-com-br/meios-de-cultura/caldo/caldo-sabouraud-dextrose-kasvi?parceiro=7063&amp;srsltid=AfmBOoqYgHPIRIQpoP2vN_pJzch5G3PsWJ1qxAa_W_D5GX6KhDo1cuIGwqQ</t>
  </si>
  <si>
    <t>CATMAT -326310- MEIO DE CULTURA, TIPO: CALDO TIOGLICOLATO, APRESENTAÇÃO: PÓ, COM INDICADOR REZASURINA, FRASCO 500 G.</t>
  </si>
  <si>
    <t>326310</t>
  </si>
  <si>
    <t>CALDO TIOGLICOLATO COM INDICADOR FRASCO DE 500 G</t>
  </si>
  <si>
    <t>CATMAT -326310- Meio de cultura, tipo: caldo tioglicolato, apresentação: pó, com indicador rezasurina, frasco 500 g.</t>
  </si>
  <si>
    <t>https://www.orionprodutoscientificos.com.br/meio-tioglicolato-com-indicador-frasco-500g-himedia?utm_source=Site&amp;utm_medium=GoogleMerchant&amp;utm_campaign=GoogleMerchant</t>
  </si>
  <si>
    <t>https://www.forlabexpress.com.br/meio-tioglicolato-c-indicador-frasco-500g-himedia/?srsltid=AfmBOopO02VbV1zSz8lTQhfqRGEUI_XOrn0lJNSFWTyXgZCQk2ePM90IgXI</t>
  </si>
  <si>
    <t>https://www.dsyslab.com.br/meios-de-cultura/caldo/meio-tioglicolato-alternativo-caldo-tioglicolato-de-nih-frasco-com-500-gramas-mod-m010-500g-himedia-velho?parceiro=7063&amp;srsltid=AfmBOoob4jGQF9oQQgKT7SUj0y3PMiSsaYgeRew4de2CHQQQ0V0YBzk-G3I</t>
  </si>
  <si>
    <t>CATMAT - 412394 - MEIO DE CULTURA, TIPO: CALDO VERDE BRILHANTE BILE 2%, APRESENTAÇÃO: PÓ. ENTREGUE EM FRASCOS DE 500 G.</t>
  </si>
  <si>
    <t>412394</t>
  </si>
  <si>
    <t>CALDO VERDE BRILHANTE BILE 2% FRASCO 500 G</t>
  </si>
  <si>
    <t>CATMAT -412394- CALDO VERDE BRILHANTE BILE 2%, APRESENTAÇÃO: PÓ. ENTREGUE EM FRASCOS DE 500 G.</t>
  </si>
  <si>
    <t>https://www.biosynesis.com.br/produto/caldo-bile-verde-brilhante-2-frasco-500-g.html?utm_source=Site&amp;utm_medium=GoogleMerchant&amp;utm_campaign=GoogleMerchant&amp;gad_source=4&amp;gclid=CjwKCAiA6KWvBhAREiwAFPZM7vzB7FCDKxlOBzusDvlaKWCowwvH8GzILH1Xf9GKYfXqod3E7uGpZRoC3EwQAvD_BwE</t>
  </si>
  <si>
    <t>https://www.prismalab.com.br/meios-de-cultura/caldo-bile-verde-brilhante-2-frasco-500g-k25-1228-kasvi?parceiro=1805&amp;gad_source=4&amp;gclid=CjwKCAiA6KWvBhAREiwAFPZM7jxE6vWMzoJy328WN7GhfCTH5RoTiiqYoovKwowl5yzs0CTNhsri0RoC3DoQAvD_BwE</t>
  </si>
  <si>
    <t>https://www.lojanetlab.com.br/meios-de-cultura/caldo/caldo-bile-verde-brilhante-2-frasco-500g-k25-610010-kasvi</t>
  </si>
  <si>
    <t xml:space="preserve">CALMAGITA, REAGENTE, ASPECTO FÍSICO: PÓ, FÓRMULA QUÍMICA: HOC10H5[N=NC6H3(OH)CH3]SO3H, MASSA MOLAR: 358,37 G/MOL, CARACTERÍSTICA ADICIONAL: REAGENTE P.A., NÚMERO DE REFERÊNCIA QUÍMICA: CAS 3147-14-6. ENTREGUE EM FRASCOS DE 25 G.
</t>
  </si>
  <si>
    <t>423240</t>
  </si>
  <si>
    <t>CALMAGITA P.A.</t>
  </si>
  <si>
    <t>CATMAT -423240- Calmagita, reagente, aspecto físico: pó, fórmula química: HOC10H5[N=NC6H3(OH)CH3]SO3H, massa molecular: 358,37 g/mol, característica adicional: reagente P.A., número de referência química: CAS 3147-14-6.</t>
  </si>
  <si>
    <t>https://www.orionprodutoscientificos.com.br/calmagite-pa-25g-exodo-cientifica?utm_source=Site&amp;utm_medium=GoogleMerchant&amp;utm_campaign=GoogleMerchant</t>
  </si>
  <si>
    <t>https://www.orionprodutoscientificos.com.br/calmagita-p-a-acs-25-g-fabricante-neon?utm_source=Site&amp;utm_medium=GoogleMerchant&amp;utm_campaign=GoogleMerchant</t>
  </si>
  <si>
    <t>https://www.lojaacscientifica.com.br/calmagite-calmagita-pa-acs-25g</t>
  </si>
  <si>
    <t xml:space="preserve">CATMAT - 375316 - CARBONATO DE AMÔNIO, ASPECTO FÍSICO CRISTAL INCOLOR OU PÓ BRANCO, ODOR CARACTERÍSTICO, PESO MOLECULAR 96,09 G/MOL, FÓRMULA QUÍMICA (NH4)2CO3, (TEOR MÍNIMO DE 30% DE AMÔNIA), CARACTERÍSTICA ADICIONAL REAGENTE P.A., NÚMERO DE REFERÊNCIA QUÍMICA CAS 506-87-6,ENTREGUE EM FRASCO COM 500 G. ATENÇÃO: OBSERVAR A UNIDADE DE MEDIDA DO SIPAC E COLOCAR MÚLTIPLO DE 500 G.
</t>
  </si>
  <si>
    <t>375316</t>
  </si>
  <si>
    <t>CARBONATO DE AMÔNIO P.A.</t>
  </si>
  <si>
    <t>CATMAT - 375316 - Carbonato de amônio, aspecto físico cristal incolor ou pó branco, odor característico, peso molecular 96,09 g/mol, fórmula química (NH4)2CO3, (teor mínimo de 30% de amônia), característica adicional reagente P.A., número de referência química CAS 506-87-6,entregue em frasco com 500 g. Atenção: observar a unidade de medida do SIPAC e colocar múltiplo de 500 g.</t>
  </si>
  <si>
    <t>https://www.orionprodutoscientificos.com.br/carbonato-de-amonio-pa-acs-500g-exodo-cientifica</t>
  </si>
  <si>
    <t>https://www.lojaacscientifica.com.br/carbonato-de-amonio-pa-acs-embalagem-500g</t>
  </si>
  <si>
    <t>https://www.lojalinklab.com.br/carbonato-de-amonio-pa-acs-500g-sem-controle?parceiro=1142</t>
  </si>
  <si>
    <t xml:space="preserve">CATMAT -354223 - CARBONATO DE BÁRIO, ASPECTO FÍSICO: PÓ BRANCO, INODORO, FÓRMULA QUÍMICA: BACO3, PESO MOLECULAR: 197,35 G/MOL, PUREZA MÍNIMA DE 99%, CARACTERÍSTICA ADICIONAL: REAGENTE P.A., NÚMERO DE REFERÊNCIA QUÍMICA: CAS 513-77-9, ENTREGUE EM FRASCO COM 250 G. ATENÇÃO: OBSERVAR A UNIDADE DE MEDIDA DO SIPAC E COLOCAR MÚLTIPLO DE 250 G.
</t>
  </si>
  <si>
    <t>354223</t>
  </si>
  <si>
    <t>CARBONATO DE BÁRIO P.A.</t>
  </si>
  <si>
    <t>CATMAT -354223 - Carbonato de bário, aspecto físico: pó branco, inodoro, fórmula química: BaCO3, peso molecular: 197,35 g/mol, pureza mínima de 99%, característica adicional: reagente P.A., número de referência química: CAS 513-77-9, entregue em frasco com 250 g. Atenção: observar a unidade de medida do SIPAC e colocar múltiplo de 250 g.</t>
  </si>
  <si>
    <t>https://www.labimport.com.br/reagentes/carbonato-de-bario/carbonato-de-bario-pa-250g</t>
  </si>
  <si>
    <t>https://www.lojalinklab.com.br/carbonato-de-bario-pa-250g-sem-controle?parceiro=1142</t>
  </si>
  <si>
    <t>https://www.orionprodutoscientificos.com.br/carbonato-de-bario-pa-250g-exodo-cientifica?utm_source=Site&amp;utm_medium=GoogleMerchant&amp;utm_campaign=GoogleMerchant</t>
  </si>
  <si>
    <t>CATMAT -412635- CARBONATO DE CÁLCIO, ASPECTO FÍSICO: PRECIPITADO, PÓ BRANCO, FINO, INODORO, HIGROSCÓPICO, PESO MOLECULAR: 100,09 G/MOL, FÓRMULA QUÍMICA: CACO3, PUREZA MÍNIMA DE 99%, CARACTERÍSTICA ADICIONAL: REAGENTE P.A., NÚMERO DE REFERÊNCIA QUÍMICA: CAS 471-34-1, ENTREGUE EM FRASCO COM 500 G. ATENÇÃO: OBSERVAR A UNIDADE DE MEDIDA DO SIPAC E COLOCAR MÚLTIPLO DE 500 G.</t>
  </si>
  <si>
    <t>412635</t>
  </si>
  <si>
    <t>CARBONATO DE CÁLCIO P.A.</t>
  </si>
  <si>
    <t>CATMAT -412635- Carbonato de cálcio, aspecto físico: precipitado, pó branco, fino, inodoro, higroscópico, peso molecular: 100,09 g/mol, fórmula química: CaCO3, pureza mínima de 99%, característica adicional: reagente P.A., número de referência química: CAS 471-34-1, entregue em frasco com 500 g. Atenção: observar a unidade de medida do SIPAC e colocar múltiplo de 500 g.</t>
  </si>
  <si>
    <t>https://www.labimport.com.br/reagentes/carbonato-de-calcio/carbonato-de-calcio-pa-500g-11777</t>
  </si>
  <si>
    <t>https://www.orionprodutoscientificos.com.br/carbonato-de-calcio-p-a-500-g-fabricante-neon?utm_source=Site&amp;utm_medium=GoogleMerchant&amp;utm_campaign=GoogleMerchant</t>
  </si>
  <si>
    <t>https://www.lojaacscientifica.com.br/carbonato-de-calcio-pa?variation=13088840</t>
  </si>
  <si>
    <t>CATMAT -347931- CARBONATO DE ESTRÔNCIO ASPECTO FÍSICO: PÓ BRANCO, INODORO , FÓRMULA QUÍMICA: SRCO3 , PESO MOLECULAR: 147,63 G/MOL, TEOR DE PUREZA: PUREZA MÍNIMA DE 97% , CARACTERÍSTICA ADICIONAL: REAGENTE P.A. , NÚMERO DE REFERÊNCIA QUÍMICA: CAS 1633-05-2. ENTREGUE EM FRASCO COM 500 G. ATENÇÃO: OBSERVAR A UNIDADE DE MEDIDA DO SIPAC E COLOCAR MÚLTIPLO DE 500 G.</t>
  </si>
  <si>
    <t>347932</t>
  </si>
  <si>
    <t>CARBONATO DE ESTRÔNCIO P.A.</t>
  </si>
  <si>
    <t>CATMAT -347931- Carbonato De Estrôncio Aspecto Físico: Pó Branco, Inodoro , Fórmula Química: Srco3 , Peso Molecular: 147,63 G/MOL, Teor De Pureza: Pureza Mínima De 97% , Característica Adicional: Reagente P.A. , Número De Referência Química: Cas 1633-05-2. ENTREGUE EM FRASCO COM 250 G. ATENÇÃO: OBSERVAR A UNIDADE DE MEDIDA DO SIPAC E COLOCAR MÚLTIPLO DE 250 G.</t>
  </si>
  <si>
    <t>Priscilla/sivaldo</t>
  </si>
  <si>
    <t>https://www.orionprodutoscientificos.com.br/carbonato-de-estroncio-pa-500g-exodo-cientifica?utm_source=Site&amp;utm_medium=GoogleMerchant&amp;utm_campaign=GoogleMerchant&amp;gad_source=4&amp;gclid=CjwKCAiAi6uvBhADEiwAWiyRdhE7ntVa8vLdv9_a2bveJhk6hnRwhC22rJGkCGVz_KfeXnjIGrxj5BoCjYEQAvD_BwE</t>
  </si>
  <si>
    <t>https://www.lojanetlab.com.br/reagentes/pa/carbonato-de-estroncio-pa</t>
  </si>
  <si>
    <t>https://www.lojaprolab.com.br/carbonato-de-estroncio-pa-81317</t>
  </si>
  <si>
    <t xml:space="preserve">[CARBONATO DE LÍTIO P.A.] CARBONATO DE LÍTIO, ASPECTO FÍSICO: PÓ BRANCO, CRISTALINO, FÓRMULA QUÍMICA: LI2CO3, PESO MOLECULAR: 73,89 G,MOL, GRAU DE PUREZA: PUREZA MÍNIMA DE 99%, CARACTERÍSTICA ADICIONAL: REAGENTE P.A., NÚMERO DE REFERÊNCIA QUÍMICA: CAS 554-13-2. FRASCO COM 250 G.
</t>
  </si>
  <si>
    <t>347934</t>
  </si>
  <si>
    <t>CARBONATO DE LÍTIO P.A.</t>
  </si>
  <si>
    <t>CATMAT -347934-Carbonato de lítio, aspecto físico: pó branco, cristalino, fórmula química: li2co3, peso molecular: 73,89 g,mol, grau de pureza: pureza mínima de 99%, característica adicional: reagente p.a., número de referência química: cas 554-13-2. Frasco com 250 g.</t>
  </si>
  <si>
    <t>https://www.orionprodutoscientificos.com.br/carbonato-de-litio-pa-250g-exodo-cientifica?utm_source=Site&amp;utm_medium=GoogleMerchant&amp;utm_campaign=GoogleMerchant&amp;gad_source=4&amp;gclid=CjwKCAiAi6uvBhADEiwAWiyRdmQB--jkfX_gsx3Bwhh2dXZAHSEhXZ6MkVEsRZnBl_DIloQem65xzRoCK3gQAvD_BwE</t>
  </si>
  <si>
    <t>https://www.lojaacscientifica.com.br/carbonato-de-litio-pa</t>
  </si>
  <si>
    <t>https://www.lojalinklab.com.br/carbonato-de-litio-pa-250g-sem-controle?parceiro=1142</t>
  </si>
  <si>
    <t xml:space="preserve">CATMAT - 359248 - CARBONATO DE MAGNÉSIO, ASPECTO FÍSICO: PÓ BRANCO CRISTALINO, INODORO, FÓRMULA QUÍMICA: MGCO3 ANIDRO, PESO MOLECULAR: 84,31 G/MOL, TEOR MÍNIMO DE MG 40% (COMO MGO) BASE CARACTERÍSTICA ADICIONAL: REAGENTE P.A., NÚMERO DE REFERÊNCIA QUÍMICA: CAS 39409-82-0, ENTREGUE EM FRASCO COM 250 G. ATENÇÃO: OBSERVAR A UNIDADE DE MEDIDA DO SIPAC E COLOCAR MÚLTIPLO DE 250 G.
</t>
  </si>
  <si>
    <t>359248</t>
  </si>
  <si>
    <t>CARBONATO DE MAGNÉSIO BASE P.A.</t>
  </si>
  <si>
    <t>CATMAT - 359248 - Carbonato de magnésio, aspecto físico: pó branco cristalino, inodoro, fórmula química: MgCO3 anidro, peso molecular: 84,31 g/mol, teor mínimo de Mg 40% (como MgO) base característica adicional: reagente P.A., número de referência química: CAS 39409-82-0, entregue em frasco com 250 g. Atenção: observar a unidade de medida do SIPAC e colocar múltiplo de 250 g.</t>
  </si>
  <si>
    <t>https://www.eplab.com.br/carbonato-de-magnesio-bas-pa-hidroxicarb-250gr-dinamica?gad_source=4&amp;gclid=CjwKCAiAi6uvBhADEiwAWiyRdpyVZOkiJ81bO5gO995W2_CwH5PkkRmIYTcvAmv5OAaBTxaWI6_zPxoC4SkQAvD_BwE</t>
  </si>
  <si>
    <t>https://www.laderquimica.com.br/carbonato-de-magnesio-pa-250g-hidrocarbonato-dinamica?utm_source=Site&amp;utm_medium=GoogleShopping&amp;utm_campaign=GooglePMax&amp;srsltid=AfmBOopClDs8Kq-Eau6US1hf7Y98aUqCMxh_sptCQgDzx5FmyiOcJz4Fnyk</t>
  </si>
  <si>
    <t>https://www.lojaacscientifica.com.br/carbonato-de-magnesio-5h2o-pa?variation=13088846</t>
  </si>
  <si>
    <t xml:space="preserve">CATMAT -347950- CARBONATO DE POTÁSSIO, ASPECTO FÍSICO: FINOS GRÂNULOS BRANCOS, INODOROS, PESO MOLECULAR: 138,21 G/MOL, FÓRMULA QUÍMICA: K2CO3 ANIDRO, PUREZA MÍNIMA DE 99%, CARACTERÍSTICA ADICIONAL: REAGENTE P.A., NÚMERO DE REFERÊNCIA QUÍMICA: CAS 584-08-7, ENTREGUE EM FRASCO COM 500 G. ATENÇÃO: OBSERVAR A UNIDADE DE MEDIDA DO SIPAC E COLOCAR MÚLTIPLO DE 500 G.
</t>
  </si>
  <si>
    <t>347950</t>
  </si>
  <si>
    <t>CARBONATO DE POTÁSSIO ANIDRO P.A.</t>
  </si>
  <si>
    <t>CATMAT -347950- Carbonato de potássio, aspecto físico: finos grânulos brancos, inodoros, peso molecular: 138,21 g/mol, fórmula química: K2CO3 anidro, pureza mínima de 99%, característica adicional: reagente P.A., número de referência química: CAS 584-08-7, entregue em frasco com 500 g. Atenção: observar a unidade de medida do SIPAC e colocar múltiplo de 500 g.</t>
  </si>
  <si>
    <t>https://quimisulsc.com.br/produto/carbonato-de-potassio-anidro-pa-99-500g/?srsltid=AfmBOopAmrlOYQfBrsTKjUItEdIXCQosPhahesMWQnbq3FmiVnhvgSyel6I</t>
  </si>
  <si>
    <t>https://www.lojalinklab.com.br/carbonato-de-potassio-anidro-pa-500g-controle-pc?parceiro=1142</t>
  </si>
  <si>
    <t>https://www.orionprodutoscientificos.com.br/carbonato-de-potassio-anidro-pa-500g-exodo-cientifica</t>
  </si>
  <si>
    <t>CATMAT -414450- CARBONATO DE SÓDIO HIDRATADO, ASPECTO FÍSICO: PÓ OU CRISTAIS BRANCOS, HIGROSCÓPICOS, INODOROS, FÓRMULA QUÍMICA: NA2CO3.10H2O (DECAHIDRATADO), PESO MOLECULAR: 286,14 G,MOL, GRAU DE PUREZA: PUREZA MÍNIMA DE 99%, CARACTERÍSTICA ADICIONAL: REAGENTE P.A., NÚMERO DE REFERÊNCIA QUÍMICA: CAS 6132-02-1. ENTREGUE EM FRASCO COM 500 G. ATENÇÃO: OBSERVAR A UNIDADE DE MEDIDA DO SIPAC E COLOCAR MÚLTIPLO DE 500 G.</t>
  </si>
  <si>
    <t>414450</t>
  </si>
  <si>
    <t>CARBONATO DE SÓDIO (10H2O) P.A.</t>
  </si>
  <si>
    <t>CATMAT -414450- CARBONATO DE SÓDIO HIDRATADO, ASPECTO FÍSICO: PÓ OU CRISTAIS BRANCOS, HIGROSCÓPICOS, INODOROS, FÓRMULA QUÍMICA: NA2CO3.10H2O (DECAHIDRATADO), PESO MOLECULAR: 286,14 G,MOL, GRAU DE PUREZA: PUREZA MÍNIMA DE 99%, CARACTERÍSTICA ADICIONAL: REAGENTE P.A., NÚMERO DE REFERÊNCIA QUÍMICA: CAS 6132-02-1. Entregue em frasco com 500 g. Atenção: observar a unidade de medida do SIPAC e colocar múltiplo de 500 g.</t>
  </si>
  <si>
    <t>Gramas</t>
  </si>
  <si>
    <t>https://www.orionprodutoscientificos.com.br/carbonato-de-sodio-decahidratado-10h2o-pa-250g-exodo-cientifica?utm_source=Site&amp;utm_medium=GoogleMerchant&amp;utm_campaign=GoogleMerchant</t>
  </si>
  <si>
    <t>https://www.lojalinklab.com.br/carbonato-de-sodio-decahidratado-10h2o-pa-250g-controle-pc</t>
  </si>
  <si>
    <t>https://www.carvalhaes.net/produto/detalhes/125025000/carbonato-de-sodio-10h2o-99-p-bioquimica-500g</t>
  </si>
  <si>
    <t>CARBONATO DE SÓDIO ANIDRO PA ACS 500G</t>
  </si>
  <si>
    <t>355924</t>
  </si>
  <si>
    <t>CARBONATO DE SÓDIO ANIDRO P.A.</t>
  </si>
  <si>
    <t>CATMAT -347958- Carbonato de sódio, aspecto físico: pó ou cristais brancos, higroscópicos, inodoros, fórmula química: NA2CO3 anidro, peso molecular: 105,99 g/mol, grau de pureza: pureza mínima de 99,5%, característica adicional: reagente P.A., número de referência química: CAS 497-19-8, entregue em frasco de 500 g. Atenção: observar a unidade de medida do SIPAC e colocar múltiplo de 500 g.</t>
  </si>
  <si>
    <t>https://www.orionprodutoscientificos.com.br/carbonato-de-sodio-anidro-p-a-500-g-fabricante-neon?utm_source=Site&amp;utm_medium=GoogleMerchant&amp;utm_campaign=GoogleMerchant</t>
  </si>
  <si>
    <t>https://www.lojalinklab.com.br/carbonato-de-sodio-anidro-pa-500g-controle-pc?parceiro=1142</t>
  </si>
  <si>
    <t>https://www.orionprodutoscientificos.com.br/carbonato-de-sodio-anidro-pa-500g-exodo-cientifica</t>
  </si>
  <si>
    <t>CATMAT -351917- CARBOXIMETILCELULOSE (CMC), ASPECTO FÍSICO PÓ BRANCO OU LEVEMENTE AMARELADO, INODORO, PUREZA MÍNIMA DE 99%, CARACTERÍSTICA ADICIONAL ALTA VISCOSIDADE, REAGENTE P.A., NÚMERO DE REFERÊNCIA QUÍMICA: CAS 9004-32-4, ENTREGUE EM FRASCO COM 500 G.</t>
  </si>
  <si>
    <t>351917</t>
  </si>
  <si>
    <t>CARBOXIMETILCELULOSE SAL SÓDICO P.A.</t>
  </si>
  <si>
    <t>CATMAT -351917- Carboximetilcelulose (cmc), aspecto físico pó branco ou levemente amarelado, inodoro, pureza mínima de 99%, característica adicional alta viscosidade, reagente P.A., número de referência química: CAS 9004-32-4.</t>
  </si>
  <si>
    <t>Quilogramas</t>
  </si>
  <si>
    <t>https://www.labimport.com.br/reagentes/carboximetilcelulose/carboximetilcelulose-sal-sodico-pa-500g</t>
  </si>
  <si>
    <t>https://www.orionprodutoscientificos.com.br/carboximetilcelulose-sal-sodico-pa-500g-exodo-cientifica</t>
  </si>
  <si>
    <t>https://www.lojalinklab.com.br/carboximetilcelulose-sal-sodico-pa-500g-sem-controle?parceiro=1142</t>
  </si>
  <si>
    <t xml:space="preserve">CATMAT -348073- CARVÃO ATIVADO, ASPECTO FÍSICO: PÓ PRETO, INODORO, PESO MOLECULAR: 12,01 G,MOL, FÓRMULA QUÍMICA: C, GRAU DE PUREZA: PUREZA MÍNIMA DE 90%, CARACTERÍSTICA ADICIONAL: REAGENTE P.A., NÚMERO DE REFERÊNCIA QUÍMICA: CAS 7440-44-0, UNIDADE DE FORNECIMENTO GRAMAS.
</t>
  </si>
  <si>
    <t>348073</t>
  </si>
  <si>
    <t>CARVÃO ATIVADO P.A.</t>
  </si>
  <si>
    <t>CATMAT -348073- Carvão ativado, aspecto físico: pó preto, inodoro, peso molecular: 12,01 g/mol, fórmula química: C, característica adicional: reagente P.A., número de referência química: CAS 7440-44-0. Entregue em frasco com 500 g. Atenção: observar a unidade de medida do SIPAC e colocar múltiplo de 500 g.</t>
  </si>
  <si>
    <t>https://www.labimport.com.br/reagentes/carvao/carvao-ativo-em-po-pa-500g-11787</t>
  </si>
  <si>
    <t>https://quimisulsc.com.br/produto/carvao-ativo-po-pa-500g/?srsltid=AfmBOootbPOrHo-Wc3pLUuvIV4EVj-HmmUadfCd3CnsgWsEgsWop-kIDkCA</t>
  </si>
  <si>
    <t>https://www.quimicenter.com.br/carvao-ativado-po-pa-dinamica?parceiro=2837&amp;srsltid=AfmBOoqpewQf-oP3nbU25cxj0sLfXHbHnUrpHsJoNEh2ktGHEU23tLL3BPM</t>
  </si>
  <si>
    <t xml:space="preserve">CATMAT - 415455 - CASEÍNA, ASPECTO FÍSICO: PÓ BRANCO, INODORO, REAGENTE P.A. NÚMERO DE REFERÊNCIA QUÍMICA : CAS 9000-71-9. ENTREGUE EM FRASCO COM 500 G. ATENÇÃO: OBSERVAR A UNIDADE DE MEDIDA DO SIPAC E COLOCAR MÚLTIPLO DE 500 G.
</t>
  </si>
  <si>
    <t>418890</t>
  </si>
  <si>
    <t>CASEÍNA P.A.</t>
  </si>
  <si>
    <t>CATMAT - 415455 - Caseína, aspecto físico: pó branco, inodoro, reagente P.A. número de referência química : CAS 9000-71-9. entregue em frasco com 500 g. Atenção: observar a unidade de medida do SIPAC e colocar múltiplo de 500 g.</t>
  </si>
  <si>
    <t>https://www.labimport.com.br/reagentes/caseina/caseina-pura-500g-11791</t>
  </si>
  <si>
    <t>https://www.lojasynth.com/reagentes-analiticosmaterias-primas/reagentes-analiticosmaterias-primas/caseina-pura?parceiro=2827&amp;variant_id=301493&amp;srsltid=AfmBOoojbR81tsZEoVozfrN96zwn9tzVmadNKSWUxNCRaU20rJ6WWOgbYmY</t>
  </si>
  <si>
    <t>https://www.orionprodutoscientificos.com.br/caseina-pura-500g-exodo-cientifica</t>
  </si>
  <si>
    <t>CATMAT -414245- COMPOSTO QUÍMICO*, COMPOSIÇÃO D-(+)-CELOBIOSE, APRESENTAÇÃO PÓ BRANCO CRISTALINO, GRAU DE PUREZA PUREZA MÍNIMA DE 98%, NÚMERO DE REFERÊNCIA QUÍMICA CAS 528-50-7. ENTREGUE EM FRASCO COM 25 G. ATENÇÃO: OBSERVAR A UNIDADE DE MEDIDA DO SIPAC E COLOCAR MÚLTIPLO DE 25 G.</t>
  </si>
  <si>
    <t>414245</t>
  </si>
  <si>
    <t>CELOBIOSE (D-CELOBIOSE)</t>
  </si>
  <si>
    <t>CATMAT -414245- COMPOSTO QUÍMICO*, COMPOSIÇÃO D-(+)-CELOBIOSE, APRESENTAÇÃO PÓ BRANCO CRISTALINO, GRAU DE PUREZA PUREZA MÍNIMA DE 98%, NÚMERO DE REFERÊNCIA QUÍMICA CAS 528-50-7. Entregue em frasco com 25 g. Atenção: observar a unidade de medida do SIPAC e colocar múltiplo de 25 g.</t>
  </si>
  <si>
    <t>https://www.lojaacscientifica.com.br/celobiose-d-celobiose-purex?variation=13088892</t>
  </si>
  <si>
    <t>https://www.orionprodutoscientificos.com.br/celobiose-d-celobiose-purex-25g-exodo-cientifica</t>
  </si>
  <si>
    <t>https://www.lojalinklab.com.br/celobiose-d-celobiose-purex-25g-sem-controle</t>
  </si>
  <si>
    <t>CATMAT -427885- CLORANFENICOL COMPOSIÇÃO: C11H12CL2N2O5 , ASPECTO FÍSICO: PÓ , PESO MOLECULAR: 323,13 G/MOL, TEOR DE PUREZA: PUREZA MÍNIMA DE 98% , CARACTERÍSTICA ADICIONAL: PADRÃO DE REFERÊNCIA ANALÍTICO , NÚMERO DE REFERÊNCIA QUÍMICA: CAS 56-75-7. ENTREGUE EM FRASCO COM 25 G. ATENÇÃO: OBSERVAR A UNIDADE DE MEDIDA DO SIPAC E COLOCAR MÚLTIPLO DE 25 G.</t>
  </si>
  <si>
    <t>427885</t>
  </si>
  <si>
    <t>CLORANFENICOL LEVOGIRO P.A.</t>
  </si>
  <si>
    <t>CATMAT -427885- Cloranfenicol Composição: C11h12cl2n2o5 , Aspecto Físico: Pó , Peso Molecular: 323,13 G/MOL, Teor De Pureza: Pureza Mínima De 98% , Característica Adicional: Padrão De Referência Analítico , Número De Referência Química: Cas 56-75-7. Entregue em frasco com 25 g. Atenção: observar a unidade de medida do SIPAC e colocar múltiplo de 25 g.</t>
  </si>
  <si>
    <t>https://www.lojaacscientifica.com.br/cloranfenicol-levogiro-pa-embalagem-25g</t>
  </si>
  <si>
    <t>https://www.orionprodutoscientificos.com.br/cloranfenicol-levogiro-pa-25g-exodo-cientifica</t>
  </si>
  <si>
    <t>CATMAT -407162- CLORETO DE ALUMÍNIO, COMPOSIÇÃO ALCL3 ANIDRO, PESO MOLECULAR 133,34 G/MOL, ASPECTO FÍSICO PÓ CRISTALINO AMARELADO, PUREZA MÍNIMA DE 99%, CARACTERÍSTICA ADICIONAL REAGENTE P.A., NÚMERO DE REFERÊNCIA QUÍMICA CAS 7446-70-0. ENTREGUE EM FRASCO COM 500 G. ATENÇÃO: OBSERVAR A UNIDADE DE MEDIDA DO SIPAC E COLOCAR MÚLTIPLO DE 500 G.</t>
  </si>
  <si>
    <t>407162</t>
  </si>
  <si>
    <t>Alterado para hidratado, motivo é o mais comum.</t>
  </si>
  <si>
    <t>CLORETO DE ALUMÍNIO (6H2O)  P.A.</t>
  </si>
  <si>
    <t>CATMAT -374776-  CLORETO DE ALUMÍNIO, COMPOSIÇÃO:ALCL3.6H2O(HEXAHIDRATADO), PESO MOLECULAR:241,43 G/MOL, ASPECTO FÍSICO:PÓ CRISTALINO AMARELADO À ALARANJADO, PUREZA MÍNIMA DE 99 %, REAGENTE P.A., NÚMERO DE REFERÊNCIA QUÍMICA: CAS 7784-13-6. Entregue em frasco com 500 g. Atenção: observar a unidade de medida do SIPAC e colocar múltiplo de 500 g.</t>
  </si>
  <si>
    <t>https://www.labimport.com.br/reagentes/cloreto-de-aluminio/cloreto-de-aluminio-6h2o-pa-500g-11803</t>
  </si>
  <si>
    <t>https://www.laderquimica.com.br/cloreto-de-aluminio-6h2o-pa-500g-dinamica?utm_source=Site&amp;utm_medium=GoogleMerchant&amp;utm_campaign=GoogleMerchant&amp;srsltid=AfmBOookgL-upzvUegUDIW0ZRPDO4myiqtHuer_EYH-JGV_Rmm0cIbpt64k</t>
  </si>
  <si>
    <t>https://www.orionprodutoscientificos.com.br/cloreto-de-aluminio-6h2o-pa-500g-exodo-cientifica</t>
  </si>
  <si>
    <t>CATMAT -352801- CLORETO DE AMÔNIO, ASPECTO FÍSICO: PÓ BRANCO, CRISTALINO, INODORO, PESO MOLECULAR: 53,49 G/MOL, FÓRMULA QUÍMICA: NH4CL, PUREZA MÍNIMA DE 99,5%, CARACTERÍSTICA ADICIONAL: REAGENTE P.A., NÚMERO DE REFERÊNCIA QUÍMICA: CAS 12125-02-9. ENTREGUE EM FRASCO COM 500 G. ATENÇÃO: OBSERVAR A UNIDADE DE MEDIDA DO SIPAC E COLOCAR MÚLTIPLO DE 500 G.</t>
  </si>
  <si>
    <t>352801</t>
  </si>
  <si>
    <t>CLORETO DE AMÔNIO P.A.</t>
  </si>
  <si>
    <t>https://www.lojalinklab.com.br/cloreto-de-amonio-pa-500g-controle-pc-e-pf?parceiro=1142</t>
  </si>
  <si>
    <t>[CLORETO DE BÁRIO (2H2O) P.A. ACS]  CLORETO DE BÁRIO, ASPECTO FÍSICO: PÓ OU GRÂNULO CRISTALINO, INCOLOR OU BRANCO, FÓRMULA QUÍMICA: BACL2.2H2O, MASSA MOLECULAR: 244,27 G/MOL, PUREZA MÍNIMA DE 99%, CARACTERÍSTICA ADICIONAL: REAGENTE P.A. ACS, NÚMERO DE REFERÊNCIA QUÍMICA: CAS 10326-27-9. ENTREGUE EM FRASCO DE 500 G. ATENÇÃO: OBSERVAR A UNIDADE DE MEDIDA DO SIPAC E COLOCAR MÚLTIPLO DE 500 G.</t>
  </si>
  <si>
    <t>380439</t>
  </si>
  <si>
    <t>CLORETO DE BÁRIO (2H2O) P.A. ACS</t>
  </si>
  <si>
    <t>CATMAT -380439- Cloreto de bário, aspecto físico: pó ou grânulo cristalino, incolor ou branco, fórmula química: BaCl2.2H2O, massa molecular: 244,27 g/mol, pureza mínima de 99%, característica adicional: reagente P.A. ACS, número de referência química: CAS 10326-27-9. Entregue em frasco de 500 g. Atenção: observar a unidade de medida do SIPAC e colocar múltiplo de 500 g.</t>
  </si>
  <si>
    <t>https://www.laderquimica.com.br/cloreto-de-bario-pa-acs-500g-dinamica?utm_source=Site&amp;utm_medium=GoogleMerchant&amp;utm_campaign=GoogleMerchant&amp;srsltid=AfmBOoo6VXR93PrCFjj-mZv0g6UZgPsbYqtB46JWI-ctkKNUe5xnsvowVZs</t>
  </si>
  <si>
    <t>https://www.lojaacscientifica.com.br/cloreto-de-bario-2h2o-pa-acs?variation=13088937</t>
  </si>
  <si>
    <t>https://www.orionprodutoscientificos.com.br/cloreto-de-bario-2h2o-pa-acs-500g-exodo-cientifica</t>
  </si>
  <si>
    <t>CATMAT -355578- CLORETO DE BENZOÍLA, ASPECTO FÍSICO: LÍQUIDO LÍMPIDO, INCOLOR, ODOR PICANTE, CORROSIVO, FÓRMULA QUÍMICA: C7H5CLO, PESO MOLECULAR: 140,57 G/MOL, PUREZA MÍNIMA DE 98%, CARACTERÍSTICA ADICIONAL: REAGENTE P.A., NÚMERO DE REFERÊNCIA QUÍMICA: CAS 98-88-4.</t>
  </si>
  <si>
    <t>355578</t>
  </si>
  <si>
    <t>Foi alterado para para sintese e não P.A. devido a ser o comum.</t>
  </si>
  <si>
    <t>CLORETO DE BENZOÍLA P.A.</t>
  </si>
  <si>
    <t>CATMAT -355578- Cloreto de benzoíla, aspecto físico: líquido límpido, incolor, odor picante, corrosivo, fórmula química: C7H5ClO, peso molecular: 140,57 g/mol, pureza mínima de 98%, característica adicional: reagente PS, número de referência química: CAS 98-88-4. Entregue em frasco de vidro ambar.</t>
  </si>
  <si>
    <t>Litros</t>
  </si>
  <si>
    <t>https://www.lojalinklab.com.br/cloreto-de-benzoila-ps-1l-controle-pc?parceiro=1142</t>
  </si>
  <si>
    <t>https://www.lojaacscientifica.com.br/cloreto-de-benzoila-ps-embalagem-1l</t>
  </si>
  <si>
    <t xml:space="preserve">CLORETO DE CÁLCIO DIHIDRATADO, ASPECTO FÍSICO: PÓ, GRANULADO OU ESCAMA BRANCA OU ROSADA, OPACA, FÓRMULA QUÍMICA: CACL2.2H20, MASSA MOLAR: 147,01 G/MOL, GRAU DE PUREZA: PUREZA MÍNIMA DE 99%, CARACTERÍSTICA ADICIONAL: REAGENTE P.A., NÚMERO DE REFERÊNCIA QUÍMICA: CAS 10035-04-8.
</t>
  </si>
  <si>
    <t>412633</t>
  </si>
  <si>
    <t>CLORETO DE CÁLCIO P.A. (2H2O)</t>
  </si>
  <si>
    <t>CATMAT -412633- Cloreto de cálcio, aspecto físico: pó, granulado ou escama branca ou rosada, opaca, fórmula química: CaCl2.2H2O, massa molecular: 147,01 g/mol, pureza mínima de 99%, característica adicional: reagente P.A., número de referência química: CAS 10035-04-8.</t>
  </si>
  <si>
    <t>https://www.labimport.com.br/reagentes/cloreto-de-calcio/cloreto-de-calcio-2h2o-pa-1000g</t>
  </si>
  <si>
    <t>https://www.lojaacscientifica.com.br/cloreto-de-calcio-2h2o-pa?variation=13088942</t>
  </si>
  <si>
    <t>https://quimisulsc.com.br/produto/cloreto-de-calcio-2h2o-pa-1-kg/?srsltid=AfmBOorsRd-K8aYjGoicPHqCJfZJ_v1jW5QeNMgnYkhoARVKDJwo837ZhFw</t>
  </si>
  <si>
    <t xml:space="preserve">[CLORETO DE CÉSIO] CLORETO DE CÉSIO,ASPECTO FÍSICO: CRISTAL INCOLOR OU BRANCO, HIGROSCÓPICO, FÓRMULA QUÍMICA: CSCL, MASSA MOLECULAR: 168,36 G/MOL, PUREZA MÍNIMA DE 99,9%, NÚMERO DE REFERÊNCIA QUÍMICA: CAS 7647-17-8.
</t>
  </si>
  <si>
    <t>408190</t>
  </si>
  <si>
    <t>CLORETO DE CÉSIO P.A.</t>
  </si>
  <si>
    <t>CATMAT -408190- CLORETO DE CÉSIO, ASPECTO FÍSICO:CRISTAL INCOLOR OU BRANCO, HIGROSCÓPICO, FÓRMULA QUÍMICA:CSCL, MASSA MOLECULAR:168,36 G/MOL, GRAU DE PUREZA:PUREZA MÍNIMA DE 99,9%, NÚMERO DE REFERÊNCIA QUÍMICA:CAS 7647-17-8. Entregue em frasco de 25 g. Atenção: observar a unidade de medida do SIPAC e colocar múltiplo de 25 g.</t>
  </si>
  <si>
    <t>https://www.labimport.com.br/reagentes/cloreto-de-cesio/cloreto-de-cesio-99-5-pa-25g-11823</t>
  </si>
  <si>
    <t>https://www.orionprodutoscientificos.com.br/cloreto-de-cesio-995-pa-25g-exodo-cientifica?utm_source=Site&amp;utm_medium=GoogleMerchant&amp;utm_campaign=GoogleMerchant</t>
  </si>
  <si>
    <t>https://www.lojaacscientifica.com.br/cloreto-de-cesio-999-pa</t>
  </si>
  <si>
    <t>CATMAT -374583- CLORETO DE CHUMBO, ASPECTO FÍSICO: PÓ BRANCO, INODORO, FÓRMULA QUÍMICA: PBCL2, PESO MOLECULAR: 278,11 G,MOL, GRAU DE PUREZA: PUREZA MÍNIMA DE 99%, CARACTERÍSTICA ADICIONAL: REAGENTE P.A., NÚMERO DE REFERÊNCIA QUÍMICA: CAS 7758-95-4. ENTREGUE EM FRASCO COM 250 G. ATENÇÃO: OBSERVAR A UNIDADE DE MEDIDA DO SIPAC E COLOCAR MÚLTIPLO DE 250 G.</t>
  </si>
  <si>
    <t>374583</t>
  </si>
  <si>
    <t>CLORETO DE CHUMBO II P.A.</t>
  </si>
  <si>
    <t>CATMAT -374583- CLORETO DE CHUMBO, ASPECTO FÍSICO: PÓ BRANCO, INODORO, FÓRMULA QUÍMICA: PBCL2, PESO MOLECULAR: 278,11 G,MOL, GRAU DE PUREZA: PUREZA MÍNIMA DE 99%, CARACTERÍSTICA ADICIONAL: REAGENTE P.A., NÚMERO DE REFERÊNCIA QUÍMICA: CAS 7758-95-4. Entregue em frasco com 250 g. Atenção: observar a unidade de medida do SIPAC e colocar múltiplo de 250 g.</t>
  </si>
  <si>
    <t>https://www.labimport.com.br/reagentes/cloreto-de-chumbo/cloreto-de-chumbo-ii-pa-250g</t>
  </si>
  <si>
    <t>https://www.lojaacscientifica.com.br/cloreto-de-chumbo-ii-pa-embalagem-250g</t>
  </si>
  <si>
    <t>https://www.orionprodutoscientificos.com.br/cloreto-de-chumbo-ii-pa-250g-exodo-cientifica?utm_source=Site&amp;utm_medium=GoogleMerchant&amp;utm_campaign=GoogleMerchant</t>
  </si>
  <si>
    <t>CLORETO DE COBALTO II, ASPECTO FÍSICO CRISTAL ROSA A VERMELHO, ODOR LEVE PENETRANTE, PESO MOLECULAR 237,93, FÓRMULA QUÍMICA COCL2.6H2O, TEOR DE PUREZA PUREZA MÍNIMA DE 98, CARACTERÍSTICA ADICIONAL REAGENTE P.A., NÚMERO DE REFERÊNCIA QUÍMICA CAS 7791-13-1 FRASCO DE 250G.</t>
  </si>
  <si>
    <t>354896</t>
  </si>
  <si>
    <t>Cloreto de cobalto anidro não é reagente comum em site por isso foi substituído pelo anidro</t>
  </si>
  <si>
    <t>CLORETO DE COBALTO II OSO (6H2O) P.A. ACS</t>
  </si>
  <si>
    <t>CATMAT -400499-Cloreto de cobalto II, aspecto físico: cristal rosa a vermelho, odor leve penetrante, peso molecular: 237,93 g/mol, fórmula química: COCL2.6H2O, pureza mínima de 98%, característica adicional: reagente P.A. ACS, número de referência química: CAS 7791-13-1. Entregue em frasco com 100 g. Atenção: observar a unidade de medida do SIPAC e colocar múltiplo de 100 g.</t>
  </si>
  <si>
    <t>https://www.orionprodutoscientificos.com.br/cloreto-de-cobalto-ii-oso-6-h2o-pa-acs-100g-exodo-cientifica?utm_source=Site&amp;utm_medium=GoogleMerchant&amp;utm_campaign=GoogleMerchant</t>
  </si>
  <si>
    <t>https://www.lojaacscientifica.com.br/cloreto-de-cobalto-ii-oso-6-h2o-pa-acs?variation=13088963</t>
  </si>
  <si>
    <t>CATMAT -436609- CLORETO DE ESTANHO, ASPECTO FÍSICO: PÓ, FÓRMULA QUÍMICA: SNCL2 ANIDRO, PESO MOLECULAR: 189,62 G/MOL, PUREZA MÍNIMA DE 97%, CARACTERÍSTICA ADICIONAL: REAGENTE P.A., NÚMERO DE REFERÊNCIA QUÍMICA: CAS 7772-99-8. ENTREGUE EM FRASCO COM 250 G. ATENÇÃO: OBSERVAR A UNIDADE DE MEDIDA DO SIPAC E COLOCAR MÚLTIPLO DE 250 G.</t>
  </si>
  <si>
    <t>436609</t>
  </si>
  <si>
    <t>Cloreto de estanho anidro não é reagente comum em site por isso foi substituído pelo anidro</t>
  </si>
  <si>
    <t>CLORETO DE ESTANHO II (2H2O) P.A.</t>
  </si>
  <si>
    <t>CATMAT -400518- CLORETO DE ESTANHO, ASPECTO FÍSICO:CRISTAL INCOLOR, LEVE ODOR DE CLORO, FÓRMULA QUÍMICA:SNCL2.2H2O (DIHIDRATADO), PESO MOLECULAR:225,63 G/MOL, TEOR DE PUREZA:PUREZA MÍNIMA DE 98%, CARACTERÍSTICA ADICIONAL:REAGENTE P.A., NÚMERO DE REFERÊNCIA QUÍMICA:CAS 10025-69-1. Entregue em frasco com 250 g. Atenção: observar a unidade de medida do SIPAC e colocar múltiplo de 250 g.</t>
  </si>
  <si>
    <t>https://www.orionprodutoscientificos.com.br/cloreto-de-estanho-ii-oso-2h2o-pa-acs-250g-exodo-cientifica?utm_source=Site&amp;utm_medium=GoogleMerchant&amp;utm_campaign=GoogleMerchant</t>
  </si>
  <si>
    <t>https://www.lojalinklab.com.br/cloreto-de-estanho-ii-oso-2h2o-pa-250g-sem-controle?parceiro=1142</t>
  </si>
  <si>
    <t>https://www.lojaacscientifica.com.br/cloreto-de-estanho-ii-oso-2h2o-pa-acs?variation=13088980</t>
  </si>
  <si>
    <t>[CLORETO DE ESTRÔNCIO] CLORETO DE ESTRÔNCIO, ASPECTO FÍSICO: PÓ BRANCO CRISTALINO, INODORO, FÓRMULA QUÍMICA: SRCL2.6H2O (HEXAHIDRATADO), MASSA MOLECULAR: 266.62 G/MOL, PUREZA MÍNIMA DE 99,9%, NÚMERO DE REFERÊNCIA QUÍMICA: CAS 10476-85-4, CARACTERÍSTICA ADICIONAL: REAGENTE P.A.</t>
  </si>
  <si>
    <t>359253</t>
  </si>
  <si>
    <t>CLORETO DE ESTRÔNCIO P.A. ACS (6H2O)</t>
  </si>
  <si>
    <t>CATMAT -412997- Cloreto de estrôncio, aspecto físico: pó branco cristalino, inodoro, composição química: SrCl2.6H2O (hexa-hidratado), peso molecular: 266,62 g/mol, pureza mínima de 99%, característica adicional: reagente p.a. acs, número de referência química: cas 10025-70-4, entregue em frasco de 250 g. Atenção: observar a unidade de medida do SIPAC e colocar múltiplo de 250 g.</t>
  </si>
  <si>
    <t>https://www.labimport.com.br/reagentes/cloreto-de-estroncio/cloreto-de-estroncio-6h2o-pa-acs-250g-15445</t>
  </si>
  <si>
    <t>https://www.lojaacscientifica.com.br/cloreto-de-estroncio-6h2o-pa-acs?variation=13088983</t>
  </si>
  <si>
    <t>https://www.lojanetlab.com.br/cloreto-de-estroncio-6h2o-pa-acs-500gr-dinamica</t>
  </si>
  <si>
    <t>CATMAT -356835- CLORETO DE FERRO, ASPECTO FÍSICO: PÓ CINZA ESVERDEADO ESCURO A PRETO, INODORO, COMPOSIÇÃO: FECL3 ANIDRO, PESO MOLECULAR: 162,30 G/MOL, PUREZA MÍNIMA DE 98%, CARACTERÍSTICAS ADICIONAIS: REAGENTE P.A., NÚMERO DE REFERÊNCIA QUÍMICA: CAS 7705-08-0. PODENDO SER FORNECIDO EM EMBALAGENS DE 500 G OU 250 G, A SER DEFINIDO PELO SOLICITANTE NO MOMENTO DO EMPENHO.</t>
  </si>
  <si>
    <t>356835</t>
  </si>
  <si>
    <t>substituído o hidratado foi substituido pelo anidro é o mais comum reagantes.</t>
  </si>
  <si>
    <t>CLORETO DE FERRO III ICO ANIDRO P.A.</t>
  </si>
  <si>
    <t>CATMAT -356835- Cloreto de ferro, aspecto físico: pó cinza esverdeado escuro a preto, inodoro, composição: FeCL3 anidro, peso molecular: 162,30 g/mol, pureza mínima de 98%, características adicionais: reagente P.A., número de referência química: CAS 7705-08-0. Entregue em frasco de 500 g. Atenção: observar a unidade de medida do SIPAC e colocar múltiplo de 500 g.</t>
  </si>
  <si>
    <t>https://www.lojalinklab.com.br/cloreto-de-ferro-iii-ico-anidro-pa-500g-sem-controle?parceiro=1142&amp;utm_medium=cpc&amp;utm_source=google&amp;utm_campaign=20614034119&amp;utm_content=__c_&amp;utm_term=&amp;utm_local=20097&amp;utm_device=c&amp;gad_source=4&amp;gclid=CjwKCAjwzN-vBhAkEiwAYiO7oHaWczvGfIenjCQqJTFEiDCsXjmiVBUHswYEDY9P_PmSDu0Z7HcopRoC-igQAvD_BwE</t>
  </si>
  <si>
    <t>https://www.labimport.com.br/reagentes/cloreto-de-ferro/cloreto-de-ferro-iii-ico-anidro-pa-500g</t>
  </si>
  <si>
    <t>https://www.orionprodutoscientificos.com.br/cloreto-de-ferro-iii-ico-anidro-pa-500g-exodo-cientifica?utm_source=Site&amp;utm_medium=GoogleMerchant&amp;utm_campaign=GoogleMerchant</t>
  </si>
  <si>
    <t>CATMAT - 352959 - CLORETO DE LÍTIO, COMPOSIÇÃO QUÍMICA: LICL, ASPECTO FÍSICO: PÓ BRANCO, INODORO, PESO MOLECULAR: 42,39 G/MOL, PUREZA MÍNIMA DE 99%, CARACTERÍSTICA ADICIONAL: REAGENTE P.A. ACS, NÚMERO DE REFERÊNCIA QUÍMICA: CAS 7447-41-8, ENTREGUE EM FRASCO COM 250 G. ATENÇÃO: OBSERVAR A UNIDADE DE MEDIDA DO SIPAC E COLOCAR MÚLTIPLO DE 250 G.</t>
  </si>
  <si>
    <t>352959</t>
  </si>
  <si>
    <t>removido o ACS, pois não é comum nas cotações de site</t>
  </si>
  <si>
    <t xml:space="preserve">CLORETO DE LÍTIO P.A. </t>
  </si>
  <si>
    <t>CATMAT - 352959 - Cloreto de lítio, composição química: LiCl, aspecto físico: pó branco, inodoro, peso molecular: 42,39 g/mol, pureza mínima de 99%, característica adicional: reagente P.A., número de referência química: CAS 7447-41-8, entregue em frasco com 250 g. Atenção: observar a unidade de medida do SIPAC e colocar múltiplo de 250 g.</t>
  </si>
  <si>
    <t>https://www.orionprodutoscientificos.com.br/cloreto-de-litio-anidro-98-pa-250g-exodo-cientifica</t>
  </si>
  <si>
    <t xml:space="preserve">CLORETO DE MAGNÉSIO HEXAHIDRATADO, FÓRMULA QUÍMICA: MGCL2.6H2O (HEXAHIDRATADO), ASPECTO FÍSICO: CRISTAL OU FLOCO, INCOLOR A ESBRANQUIÇADO, INODORO, MASSA MOLAR: 203,31 G/MOL, GRAU DE PUREZA: PUREZA MÍNIMA DE 99%, CARACTERÍSTICA ADICIONAL: REAGENTE P.A., NÚMERO DE REFERÊNCIA QUÍMICA: CAS 7791-18-6. ENTREGUE EM FRASCOS DE 500 G.
</t>
  </si>
  <si>
    <t>360537</t>
  </si>
  <si>
    <t>CLORETO DE MAGNÉSIO (6H2O) P.A.</t>
  </si>
  <si>
    <t>CATMAT -360537- Cloreto de magnésio, composição básica: MgCl2.6H2O (hexa-hidratado), aspecto físico: cristal ou floco, incolor a esbranquiçado, inodoro, peso molecular: 203,30 g/mol, pureza mínima de 99%, característica adicional: reagente P.A., número de referência química: CAS 7791-18-6. Entregue em frasco de 500 g. Atenção: observar a unidade de medida do SIPAC e colocar múltiplo de 500 g.</t>
  </si>
  <si>
    <t>https://www.labimport.com.br/reagentes/cloreto-de-magnesio-6h2o-pa-500g-conc-99-dens-1-57</t>
  </si>
  <si>
    <t>https://www.orionprodutoscientificos.com.br/cloreto-de-magnesio-6h2o-pa-500g-500g-exodo-cientifica?utm_source=Site&amp;utm_medium=GoogleMerchant&amp;utm_campaign=GoogleMerchant</t>
  </si>
  <si>
    <t>https://www.orionprodutoscientificos.com.br/cloreto-de-magnesio-hexahidratado-p-a-500-g-fabricante-neon?utm_source=Site&amp;utm_medium=GoogleMerchant&amp;utm_campaign=GoogleMerchant</t>
  </si>
  <si>
    <t>CATMAT -454847- CLORETO DE MANGANÊS, ASPECTO FÍSICO: PÓ, PESO MOLECULAR: 197,91 G,MOL, FÓRMULA QUÍMICA: MNCL2.4H2O (TETRAHIDRATADO), PUREZA MÍNIMA DE 99%, CARACTERÍSTICA ADICIONAL: REAGENTE P.A., NÚMERO DE REFERÊNCIA QUÍMICA: CAS 13446-34-9. ENTREGUE EM FRASCO COM 500 G. ATENÇÃO: OBSERVAR A UNIDADE DE MEDIDA DO SIPAC E COLOCAR MÚLTIPLO DE 500 G.</t>
  </si>
  <si>
    <t>454847</t>
  </si>
  <si>
    <t>CLORETO DE MANGANÊS II OSO P.A. (4H2O)</t>
  </si>
  <si>
    <t>CATMAT -454847- Cloreto de manganês, aspecto físico: pó, peso molecular: 197,91 g,mol, fórmula química: MnCl2.4H2O (tetrahidratado), pureza mínima de 99%, característica adicional: reagente P.A., número de referência química: cas 13446-34-9. Entregue em frasco com 500 g. Atenção: observar a unidade de medida do SIPAC e colocar múltiplo de 500 g.</t>
  </si>
  <si>
    <t>https://www.orionprodutoscientificos.com.br/cloreto-de-manganes-oso-4h2o-pa-acs-500g-exodo-cientifica?utm_source=Site&amp;utm_medium=GoogleMerchant&amp;utm_campaign=GoogleMerchant</t>
  </si>
  <si>
    <t>https://www.lojalinklab.com.br/cloreto-de-manganes-oso-4h2o-pa-1kg-sem-controle?parceiro=1142</t>
  </si>
  <si>
    <t>https://www.orionprodutoscientificos.com.br/cloreto-de-manganes-oso-4h2o-500g-exodo-cientifica?utm_source=Site&amp;utm_medium=GoogleMerchant&amp;utm_campaign=GoogleMerchant</t>
  </si>
  <si>
    <t>CATMAT -400989- CLORETO DE MERCÚRIO ASPECTO FÍSICO: CRISTAIS BRANCOS, INODOROS , PESO MOLECULAR: 271,52 G/MOL, FÓRMULA QUÍMICA: HGCL2 (CLORETO MERCÚRICO OU BICLORETO DE MERCÚRIO) , TEOR DE PUREZA: PUREZA MÍNIMA DE 99,5% , CARACTERÍSTICA ADICIONAL: REAGENTE P.A. ACS , NÚMERO DE REFERÊNCIA QUÍMICA: CAS 7487-94-7, ENTREGUE EM FRASCO DE 100 G. ATENÇÃO: OBSERVAR A UNIDADE DE MEDIDA DO SIPAC E COLOCAR MÚLTIPLO DE 100 G.</t>
  </si>
  <si>
    <t>400989</t>
  </si>
  <si>
    <t>CLORETO DE MERCURIO I (OSO) P.A. ACS</t>
  </si>
  <si>
    <t>CATMAT -400989- Cloreto De Mercúrio Aspecto Físico: Cristais Brancos, Inodoros , Peso Molecular: 271,52 G/MOL, Fórmula Química: Hgcl2 (Cloreto Mercúrico Ou Bicloreto De Mercúrio) , Teor De Pureza: Pureza Mínima De 99,5% , Característica Adicional: Reagente P.A. Acs , Número De Referência Química: Cas 7487-94-7, entregue em frasco de 100 g. Atenção: observar a unidade de medida do SIPAC e colocar múltiplo de 100 g.</t>
  </si>
  <si>
    <t>https://www.lojalinklab.com.br/cloreto-de-mercurio-i-oso-pa-100g-controle-pc?parceiro=1142</t>
  </si>
  <si>
    <t>https://www.lojaacscientifica.com.br/cloreto-de-mercurio-i-oso-pa-acs-calomelano?variation=13089005</t>
  </si>
  <si>
    <t>https://www.orionprodutoscientificos.com.br/cloreto-de-mercurio-i-oso-pa-100g-exodo-cientifica?utm_source=Site&amp;utm_medium=GoogleMerchant&amp;utm_campaign=GoogleMerchant</t>
  </si>
  <si>
    <t>CATMAT - 352777 - CLORETO DE POTÁSSIO, ASPECTO FÍSICO: PÓ OU CRISTAL BRANCO, INODORO, FÓRMULA QUÍMICA: KCL, MASSA MOLECULAR: 74,55 G/MOL, PUREZA MÍNIMA DE 99%, CARACTERÍSTICA ADICIONAL: REAGENTE P.A., NÚMERO DE REFERÊNCIA QUÍMICA: CAS 7447-40-7. ENTREGUE EM FRASCO COM 500 G. ATENÇÃO: OBSERVAR A UNIDADE DE MEDIDA DO SIPAC E COLOCAR MÚLTIPLO DE 500 G.</t>
  </si>
  <si>
    <t>458161</t>
  </si>
  <si>
    <t>CLORETO DE POTÁSSIO P.A.</t>
  </si>
  <si>
    <t>CATMAT - 352777 - Cloreto de potássio, aspecto físico: pó ou cristal branco, inodoro, fórmula química: KCl, massa molecular: 74,55 g/mol, pureza mínima de 99%, característica adicional: reagente P.A., número de referência química: CAS 7447-40-7. Entregue em frasco com 500 g. Atenção: observar a unidade de medida do SIPAC e colocar múltiplo de 500 g.</t>
  </si>
  <si>
    <t>https://www.labimport.com.br/reagentes/cloreto-de-potassio/cloreto-de-potassio-p-a-500g</t>
  </si>
  <si>
    <t>https://www.lojalinklab.com.br/cloreto-de-potassio-pa-500g-sem-controle?parceiro=1142</t>
  </si>
  <si>
    <t>https://www.laderquimica.com.br/cloreto-potassio-pa-acs-1000g?utm_source=Site&amp;utm_medium=GoogleMerchant&amp;utm_campaign=GoogleMerchant&amp;srsltid=AfmBOoqqAaxjm0KldXLctEtQAGpKdndy8I_56idZLCBkbc2wO4IPSEQMSqg</t>
  </si>
  <si>
    <t>CATMAT: 382986 - CLORETO DE PRATA, ASPECTO FÍSICO PÓ ESBRANQUIÇADO, INODORO, FÓRMULA QUÍMICA AGCL, PESO MOLECULAR 143,32 G/MOL, PUREZA MÍNIMA DE 99%, CARACTERÍSTICA ADICIONAL REAGENTE P.A., NÚMERO DE REFERÊNCIA QUÍMICA: CAS 7783-90-6. ENTREGUE EM FRASCO COM 25 G. ATENÇÃO: OBSERVAR A UNIDADE DE MEDIDA DO SIPAC E COLOCAR MÚLTIPLO DE 25 G.</t>
  </si>
  <si>
    <t>382986</t>
  </si>
  <si>
    <t>CLORETO DE PRATA P.A.</t>
  </si>
  <si>
    <t>CATMAT: 382986 - Cloreto de prata, aspecto físico pó esbranquiçado, inodoro, fórmula química AgCl, peso molecular 143,32 g/mol, pureza mínima de 99%, característica adicional reagente P.A., número de referência química: CAS 7783-90-6. Entregue em frasco com 25 g. Atenção: observar a unidade de medida do SIPAC e colocar múltiplo de 25 g.</t>
  </si>
  <si>
    <t>https://www.labimport.com.br/reagentes/cloreto-de-prata/cloreto-de-prata-pa-25g</t>
  </si>
  <si>
    <t>https://www.lojaacscientifica.com.br/cloreto-de-prata-pa-embalagem-25g</t>
  </si>
  <si>
    <t>https://www.lojasynth.com/reagentes-analiticosmaterias-primas/reagentes-analiticosmaterias-primas/cloreto-de-prata-p-a?parceiro=2827&amp;variant_id=301285&amp;srsltid=AfmBOopbCZRouSk2ofyUS5MclGqtOmZr6Ka87FLJNXyVOXWGe3KtB2jVyF4</t>
  </si>
  <si>
    <t>CATMAT -366472- CLORETO DE SÓDIO, ASPECTO FÍSICO: PÓ CRISTALINO BRANCO OU CRISTAIS INCOLORES, COMPOSIÇÃO QUÍMICA: NACL ANIDRO, PESO MOLECULAR: 58,45 G/MOL, PUREZA MÍNIMA DE 99,5%, CARACTERÍSTICA ADICIONAL: REAGENTE P.A., NÚMERO DE REFERÊNCIA QUÍMICA: CAS 7647-14-5, KG</t>
  </si>
  <si>
    <t>366472</t>
  </si>
  <si>
    <t>CLORETO DE SÓDIO P.A.</t>
  </si>
  <si>
    <t>CATMAT -366472- Cloreto de sódio, aspecto físico: pó cristalino branco ou cristais incolores, composição química: NaCl anidro, peso molecular: 58,45 g/mol, pureza mínima de 99,5%, característica adicional: reagente P.A., número de referência química: CAS 7647-14-5</t>
  </si>
  <si>
    <t>https://www.labimport.com.br/reagentes/cloreto-de-sodio/cloreto-de-sodio-pa-acs-1000g</t>
  </si>
  <si>
    <t>https://www.laderquimica.com.br/cloreto-de-sodio-pa-1-kg-dinamica?utm_source=Site&amp;utm_medium=GoogleShopping&amp;utm_campaign=GooglePMax&amp;srsltid=AfmBOopH2icAFAsg7GuOuxi0Jpxs3P5_vWgBgSXYEZD9VGMyqeLc_oCwQQU</t>
  </si>
  <si>
    <t>https://www.labimport.com.br/reagentes/cloreto-de-sodio/cloreto-de-sodio-pa-1000g</t>
  </si>
  <si>
    <t>CATMAT -360499- CLORETO DE ZINCO, ASPECTO FÍSICO: GRÂNULO BRANCO CRISTALINO, HIGROSCÓPICO, INODORO, PESO MOLECULAR: 136,29 G/MOL, FÓRMULA QUÍMICA: ZNCL2 ANIDRO, GRAU DE PUREZA: PUREZA MÍNIMA DE 97%, CARACTERÍSTICA ADICIONAL: REAGENTE P.A., NÚMERO DE REFERÊNCIA QUÍMICA: CAS 7646-85-7. ENTREGUE EM FRASCO COM 500 G. ATENÇÃO: OBSERVAR A UNIDADE DE MEDIDA DO SIPAC E COLOCAR MÚLTIPLO DE 500 G.</t>
  </si>
  <si>
    <t>360499</t>
  </si>
  <si>
    <t>CLORETO DE ZINCO P.A.</t>
  </si>
  <si>
    <t>CATMAT -360499- Cloreto de zinco, aspecto físico: grânulo branco cristalino, higroscópico, inodoro, peso molecular: 136,29 g/mol, fórmula química: ZnCl2 anidro, grau de pureza: pureza mínima de 97%, característica adicional: reagente P.A., número de referência química: CAS 7646-85-7. Entregue em frasco com 500 g. Atenção: observar a unidade de medida do SIPAC e colocar múltiplo de 500 g.</t>
  </si>
  <si>
    <t>https://www.eplab.com.br/fenol-cristal-pa-acs-acido-fenico-1000gr-dinamica</t>
  </si>
  <si>
    <t>[CLORIDRATO DE TIAMINA P.A.] CATMAT -376251- TIAMINA, ASPECTO FÍSICO PÓ FINO, BRANCO, CRISTALINO, FÓRMULA QUÍMICA C12H17CLN4SO.HCL (SAL HIDROCLORETO), PESO MOLECULAR 337,27, GRAU DE PUREZA PUREZA MÍNIMA DE 98%, CARACTERÍSTICA ADICIONAL REAGENTE P.A., NÚMERO DE REFERÊNCIA QUÍMICA CAS 67-03-8. ENTREGUE EM FRASCO COM 100 G. ATENÇÃO: OBSERVAR A UNIDADE DE MEDIDA DO SIPAC E COLOCAR MÚLTIPLO DE 100 G.</t>
  </si>
  <si>
    <t>376251</t>
  </si>
  <si>
    <t>CLORIDRATO DE TIAMINA P.A. (VITAMINA B1/HIDROCLORETO DE TIAMINA)</t>
  </si>
  <si>
    <t>CATMAT -376251- TIAMINA, ASPECTO FÍSICO PÓ FINO, BRANCO, CRISTALINO, FÓRMULA QUÍMICA C12H17CLN4SO.HCL (SAL HIDROCLORETO), PESO MOLECULAR 337,27, GRAU DE PUREZA PUREZA MÍNIMA DE 98%, CARACTERÍSTICA ADICIONAL REAGENTE P.A., NÚMERO DE REFERÊNCIA QUÍMICA CAS 67-03-8. Entregue em frasco com 100 g. Atenção: observar a unidade de medida do SIPAC e colocar múltiplo de 100 g.</t>
  </si>
  <si>
    <t>https://www.lojaacscientifica.com.br/cloridrato-de-tiamina-98-vitamina-b1-pa?variation=13089030</t>
  </si>
  <si>
    <t>https://www.orionprodutoscientificos.com.br/cloridrato-de-tiamina-98-pa-100g-exodo-cientifica?utm_source=Site&amp;utm_medium=GoogleMerchant&amp;utm_campaign=GoogleMerchant</t>
  </si>
  <si>
    <t>https://www.lojalinklab.com.br/cloridrato-de-tiamina-98-pa-100g-sem-controle?parceiro=1142</t>
  </si>
  <si>
    <t>CATMAT -419337- CLOROFÓRMIO, ASPECTO FÍSICO LÍQUIDO LÍMPIDO, INCOLOR, ODOR AGRADÁVEL, PESO MOLECULAR 120,38, FÓRMULA QUÍMICA CDCL3 (CLOROFÓRMIO DEUTERADO), GRAU DE PUREZA PUREZA ISOTÓPICA DE 99,8 ATOM % D, CARACTERÍSTICA ADICIONAL COM 0.03 % (V/V) TMS, NÚMERO DE REFERÊNCIA QUÍMICA CAS 865-49-6. ENTREGUE EM FRASCO COM 50 G.  ATENÇÃO: OBSERVAR A UNIDADE DE MEDIDA DO SIPAC E COLOCAR MÚLTIPLO DE 50 G. ENTREGUE EM FRASCO DE VIDRO AMBAR.</t>
  </si>
  <si>
    <t>419337</t>
  </si>
  <si>
    <t>CLOROFÓRMIO DEUTERADO 99,8%</t>
  </si>
  <si>
    <t>CATMAT -419337- CLOROFÓRMIO, ASPECTO FÍSICO LÍQUIDO LÍMPIDO, INCOLOR, ODOR AGRADÁVEL, PESO MOLECULAR 120,38, FÓRMULA QUÍMICA CDCL3 (CLOROFÓRMIO DEUTERADO), GRAU DE PUREZA PUREZA ISOTÓPICA DE 99,8 ATOM % D, CARACTERÍSTICA ADICIONAL COM 0.03 % (V/V) TMS, NÚMERO DE REFERÊNCIA QUÍMICA CAS 865-49-6. Entregue em frasco com 50 g. Atenção: observar a unidade de medida do SIPAC e colocar múltiplo de 50 g. Entregue em frasco de vidro ambar.</t>
  </si>
  <si>
    <t>CATMAT -380869- CLOROFÓRMIO, ASPECTO FÍSICO: LÍQUIDO CLARO, INCOLOR, ODOR FORTE CARACTERÍSTICO, PESO MOLECULAR: 119,38 G,MOL, FÓRMULA QUÍMICA: CHCL3, GRAU DE PUREZA: PUREZA MÍNIMA DE 99%, CARACTERÍSTICA ADICIONAL: REAGENTE P.A. ACS, NÚMERO DE REFERÊNCIA QUÍMICA: CAS 67-66-3</t>
  </si>
  <si>
    <t>380869</t>
  </si>
  <si>
    <t>CLOROFÓRMIO P.A. ACS</t>
  </si>
  <si>
    <t>CATMAT -380869- Clorofórmio, aspecto físico: líquido claro, incolor, odor forte característico, peso molecular: 119,38 g/mol, fórmula química: CHCl3, pureza mínima de 99%, característica adicional: reagente P.A. ACS, número de referência química: CAS 67-66-3. Entregue em frasco de vidro ambar.</t>
  </si>
  <si>
    <t>https://www.lojalinklab.com.br/cloroformio-pa-acs-1l-controle-pc-e-pf?parceiro=1142</t>
  </si>
  <si>
    <t>CATMAT -374874- COBRE, ASPECTO FÍSICO: PÓ AVERMELHADO, INODORO, FÓRMULA QUÍMICA: CU, PESO MOLECULAR: 63,54 G/MOL, PUREZA MÍNIMA DE 99%, CARACTERÍSTICA ADICIONAL: REAGENTE P.A., NÚMERO DE REFERÊNCIA QUÍMICA: CAS 7440-50-8. ATENÇÃO: OBSERVAR A UNIDADE DE MEDIDA DO SIPAC E COLOCAR MÚLTIPLO DE 100 G.</t>
  </si>
  <si>
    <t>374874</t>
  </si>
  <si>
    <t>COBRE METÁLICO P.A.</t>
  </si>
  <si>
    <t>CATMAT -374874- Cobre, aspecto físico: pó avermelhado, inodoro, fórmula química: Cu, peso molecular: 63,54 g/mol, pureza mínima de 99%, característica adicional: reagente P.A., número de referência química: CAS 7440-50-8. Atenção: observar a unidade de medida do SIPAC e colocar múltiplo de 100 g.</t>
  </si>
  <si>
    <t>https://www.lojaacscientifica.com.br/cobre-metalico-em-po-pa?variation=13089032</t>
  </si>
  <si>
    <t>https://www.lojalinklab.com.br/cobre-metalico-em-po-pa-500g-sem-controle?parceiro=1142</t>
  </si>
  <si>
    <t>REAGENTE PARA DIAGNÓSTICO CLÍNICO, TIPO CONJUNTO COMPLETO PARA AUTOMAÇÃO, TIPO DE ANÁLISE QUANTITATIVO DE ALT/TGP, MÉTODO CINÉTICO COLORIMÉTRICO DE PONTO FINAL, APRESENTAÇÃO TESTE</t>
  </si>
  <si>
    <t>331747</t>
  </si>
  <si>
    <t>se esse reagentes ficarem eu não tenho competência e como sugestão solicitar um pessoa especiaista para trabalhar exclusivamente com este itens</t>
  </si>
  <si>
    <t>CONJUNTO COMPLETO ANÁLISE QUANTITATIVO DE ALT/TGP</t>
  </si>
  <si>
    <t>CATMAT -331747- CONJUNTO COMPLETO PARA AUTOMAÇÃO, TIPO DE ANÁLISE QUANTITATIVO DE ALT/TGP, MÉTODO CINÉTICO COLORIMÉTRICO DE PONTO FINAL, APRESENTAÇÃO TESTE</t>
  </si>
  <si>
    <t>CATMAT -388554- MEIO DE CULTURA, TIPO: CONJUNTO COMPLETO, ADITIVOS: COM REATIVO DE KOVACS, OUTROS COMPONENTES: MEIO EPM, MEIO MILI, ÁGAR CITRATO DE SIMMONS</t>
  </si>
  <si>
    <t>388554</t>
  </si>
  <si>
    <t>MEIO MILI, ÁGAR CITRATO DE SIMMON 500G</t>
  </si>
  <si>
    <t>CATMAT - 388554 - Meio De Cultura. Tipo: Conjunto Completo, Aditivos: Com Reativo De Kovacs, Outros Componentes: Meio Epm, Meio Mili, Ágar Citrato De Simmons</t>
  </si>
  <si>
    <t>FRASCO</t>
  </si>
  <si>
    <t>https://www.lojaprolab.com.br/agar-citrato-simmons-80403?utm_source=google&amp;utm_medium=feed&amp;utm_campaign=shopping&amp;gad_source=4&amp;gclid=Cj0KCQjwncWvBhD_ARIsAEb2HW_YQKs35zkkqj5GFPXoPfCxSlR_lWEdEYPLT3DRma8Uu6pLHnFYQc0aAphDEALw_wcB</t>
  </si>
  <si>
    <t>https://www.lumilabor.com.br/reagentes-e-meios/agar-citrato-simmons-frasco-500g-k25-1014-kasvi?parceiro=6858&amp;gad_source=4&amp;gclid=Cj0KCQjwncWvBhD_ARIsAEb2HW98BND9v-2ljvT2Ca-vYUeVBf1oTvQZYEwC8kuwV-ydsNJElNctEX0aAoOVEALw_wcB</t>
  </si>
  <si>
    <t>https://www.biosynesis.com.br/produto/agar-citrato-simmons-frasco-500-g.html?utm_source=Site&amp;utm_medium=GoogleMerchant&amp;utm_campaign=GoogleMerchant&amp;gad_source=4&amp;gclid=Cj0KCQjwncWvBhD_ARIsAEb2HW9EKv0M3wz5Fb7QgRLxNjmKvQ5EwJMBFnn4HETFgk4bv_9u1b50B1kaAqgmEALw_wcB</t>
  </si>
  <si>
    <t xml:space="preserve">CATMAT -327536- CONJUNTO CORANTE HEMATOLÓGICO PANÓTICO RÁPIDO, ASPECTO FÍSICO: LÍQUIDO, CARACTERÍSTICAS ADICIONAIS: FRASCOS SEPARADOS CONTENDO, COMPOSIÇÃO: 0,1% DE CICLOHEXADIENOS, 0,1% DE AZOBENZOSULFÔNICOS, COMPONENTES ADICIONAIS: 0,1% DE FENOTIAZINAS. CADA REAGENTE ACOMODADO EM FRASCO DE 500 ML
</t>
  </si>
  <si>
    <t>327536</t>
  </si>
  <si>
    <t>CONJUNTO CORANTE HEMATOLÓGICO PANÓTICO RÁPIDO</t>
  </si>
  <si>
    <t>CATMAT -327536- Conjunto corante hematológico panótico rápido, aspecto físico: líquido, características adicionais: frascos separados contendo, composição: 0,1% de ciclohexadienos, 0,1% de azobenzosulfônicos, componentes adicionais: 0,1% de fenotiazinas. cada reagente acomodado em frasco de 500 mL</t>
  </si>
  <si>
    <t>https://www.lojaprolab.com.br/panotico-rapido-91158?utm_source=google&amp;utm_medium=feed&amp;utm_campaign=shopping&amp;srsltid=AfmBOoriqB10PcrEAUV-h6OsG39jFUWdy_lpbOZSBCd-f9BmAKdzsA2B3t4</t>
  </si>
  <si>
    <t>https://www.mmcomercio.net.br/produto/coloracao-panotico-rapido-conjunto-3x500ml-laborclin.html?utm_source=Site&amp;utm_medium=GoogleMerchant&amp;utm_campaign=GoogleMerchant&amp;srsltid=AfmBOoo_VuQQnHZrZmIZLvahg3uDox1dYI9gOStpq3ucfBtEgSjWpmKdoQU</t>
  </si>
  <si>
    <t>https://www.lmplab.com.br/produtos/conjunto-coloracao-panotico-rapido-3x500ml-laborclin/?variant=496050983&amp;pf=mc</t>
  </si>
  <si>
    <t>CATMAT -327534- CONJUNTO REAGENTE PARA COLORAÇÃO DE GRAM, ASPECTO FÍSICO: LÍQUIDO, CARACTERÍSTICAS ADICIONAIS: FRASCOS SEPARADOS CONTENDO, COMPOSIÇÃO: CRISTALVIOLETA,LUGOL,ETANOL-ACETONA,FUCSINA BÁSICA, CADA REAGENTE ACOMODADO EM FRASCO DE 500 ML</t>
  </si>
  <si>
    <t>327534</t>
  </si>
  <si>
    <t>CONJUNTO REAGENTE PARA COLORAÇÃO DE GRAM 4 FRASCOS COM 500 ML</t>
  </si>
  <si>
    <t>CATMAT -327534- Conjunto reagente para coloração de Gram, aspecto físico: líquido, características adicionais: frascos separados contendo, composição: cristal violeta, lugol, etanol-acetona, fucsina básica, cada solução é acomodado em frasco com 500 mL.</t>
  </si>
  <si>
    <t>https://www.lojaprolab.com.br/kit-coloracao-de-gram-91159?utm_source=google&amp;utm_medium=feed&amp;utm_campaign=shopping&amp;srsltid=AfmBOorWZBHpAUXie42uNbNRH3gtFi5EbQ5zZVa-oj2khYe38kt7B3PHGAk</t>
  </si>
  <si>
    <t>https://www.labimport.com.br/reagentes/kit-de-coloracao-de-gram/kit-de-coloracao-de-gram-04x500ml</t>
  </si>
  <si>
    <t>https://gaiadiagnostica.com.br/produtos/coloracao-gram-frascos-c-500ml-newprov/?variant=682529219&amp;pf=mc</t>
  </si>
  <si>
    <t>CORANTE- KIT - TRICRÔMIO DE MASSON (COM AZUL DE ANILINA) - CORANTE, TIPO CONJUNTO COLORAÇÃO TRICRÔMIO DE MASSON, COMPOSIÇÃO HEMATOXILINA WEIGERT, ÁCIDO PÍCRICO, COMPONENTES ADICIONAIS FUCSINA MALLORY, AZUL ANILINA MASSON.</t>
  </si>
  <si>
    <t>368632</t>
  </si>
  <si>
    <t>CONJUNTO TRICRÔMIO DE MASSON</t>
  </si>
  <si>
    <t>CATMAT -368632- Corante, tipo: conjunto coloração tricrômio de masson, composição: hematoxilina weigert, ácido pícrico, componentes adicionais: fucsina mallory, azul anilina masson.</t>
  </si>
  <si>
    <t>CATMAT -359256- CROMATO DE POTÁSSIO, ASPECTO FÍSICO: PÓ CRISTALINO AMARELO ALARANJADO, INODORO, FÓRMULA QUÍMICA: K2CRO4 ANIDRO, MASSA MOLECULAR: 194,19 G/MOL, PUREZA MÍNIMA DE 99%, CARACTERÍSTICA ADICIONAL: REAGENTE P.A., NÚMERO DE REFERÊNCIA QUÍMICA: CAS 7789-00-6, ENTREGUE EM FRASCO DE 500 G. ATENÇÃO: OBSERVAR A UNIDADE DE MEDIDA DO SIPAC E COLOCAR MÚLTIPLO DE 500 G.</t>
  </si>
  <si>
    <t>359256</t>
  </si>
  <si>
    <t>CROMATO DE POTÁSSIO P.A.</t>
  </si>
  <si>
    <t>CATMAT -359256- Cromato de potássio, aspecto físico: pó cristalino amarelo alaranjado, inodoro, fórmula química: K2CrO4 anidro, massa molecular: 194,19 g/mol, pureza mínima de 99%, característica adicional: reagente P.A., número de referência química: CAS 7789-00-6, entregue em frasco de 500 g. Atenção: observar a unidade de medida do SIPAC e colocar múltiplo de 500 g.</t>
  </si>
  <si>
    <t>gramas</t>
  </si>
  <si>
    <t>https://www.lojalinklab.com.br/cromato-de-potassio-pa-acs-500g-controle-pc-e-pf?parceiro=1142</t>
  </si>
  <si>
    <t>DETERGENTE PARA LIMPEZA DE VIDRARIA DE LABORATÓRIO - EMB. 5L -ASPECTO FÍSICO: LÍQUIDO. APLICAÇÃO: LIMPEZA VIDRARIA DE LABORATÓRIO
CARACTERÍSTICAS ADICIONAIS: CONCENTRADO, PH NEUTRO, BIODEAGRADÁVEL. COMPOSIÇÃO: ÁCIDO SULFÔNICO, HIDRÓXIDO DE SÓDIO E ESTABILIZANTES</t>
  </si>
  <si>
    <t>301233</t>
  </si>
  <si>
    <t>esse é nosso mesmo?
RESP. Decidimos manter o item, pois é mais efetivo adquirí-lo em um pregão de itens para laboratórios que em material de liimpeza</t>
  </si>
  <si>
    <t>DETERGENTE NEUTRO PARA VIDRARIAS 5L</t>
  </si>
  <si>
    <t>CATMAT -301233- DETERGENTE PARA LIMPEZA DE VIDRARIA DE LABORATÓRIO - EMB. 5L -ASPECTO FÍSICO: LÍQUIDO. APLICAÇÃO: LIMPEZA VIDRARIA DE LABORATÓRIO
CARACTERÍSTICAS ADICIONAIS: CONCENTRADO, PH NEUTRO, BIODEAGRADÁVEL. COMPOSIÇÃO: ÁCIDO SULFÔNICO, HIDRÓXIDO DE SÓDIO E ESTABILIZANTES. EMBALAGEM DE 5 L</t>
  </si>
  <si>
    <t>Embalagens</t>
  </si>
  <si>
    <t>https://www.megalimp.com.br/heavy-wash-detergente-neutro-ideal-para-vidros-laboratoriais-5-litros-spartan?parceiro=4641&amp;gad_source=4&amp;gclid=Cj0KCQjwncWvBhD_ARIsAEb2HW_9KLo89afm9HLAkG7ewT64VlWQCO62gPhOoOO4wEgAW77xPRYKeP8aAjpqEALw_wcB</t>
  </si>
  <si>
    <t>https://www.labimport.com.br/reagentes/detertex/detertex-detergente-neutro-ph-6-5-a-7-5-5-l-11889</t>
  </si>
  <si>
    <t>https://loja.implemis.com.br/detergente-alcalino-5-litros?utm_source=Site&amp;utm_medium=GoogleMerchant&amp;utm_campaign=GoogleMerchant</t>
  </si>
  <si>
    <t>CATMAT - 346522 - DICLOROMETANO HPLC- DICLOROMETANO, ASPECTO FÍSICO LÍQUIDO CLARO, INCOLOR, FÓRMULA QUÍMICA CH2CL2, MAS SA MOLECULAR 84,93, GRAU DE PUREZA MÍNIMA DE 99,9%, CARACTERÍSTICA ADICIONAL REAGENTE GRAU HPLC, CAS 75-09-2. ENTREGUE EM FRASCO COM 1 L.</t>
  </si>
  <si>
    <t>346522</t>
  </si>
  <si>
    <t>DICLOROMETANO HPLC</t>
  </si>
  <si>
    <t>CATMAT - 346522 – Diclorometano, aspecto físico líquido claro, incolor, fórmula química: CH2Cl2, massa molecular: 84,93 g/mol, grau de pureza mínima de 99,9%, característica adicional reagente grau HPLC, CAS 75-09-2. Entregue em frasco de vidro ambar.</t>
  </si>
  <si>
    <t>https://www.didaticasp.com.br/diclorometano-uvhplc-espectroscopico-1l-pfssp</t>
  </si>
  <si>
    <t xml:space="preserve">CATMAT -346521- DICLOROMETANO, ASPECTO FÍSICO: LÍQUIDO CLARO, INCOLOR, FÓRMULA QUÍMICA: CH2CL2, MASSA MOLECULAR: 84,93 G/MOL, PUREZA MÍNIMA DE 99%, CARACTERÍSTICA ADICIONAL: REAGENTE P.A., NÚMERO DE REFERÊNCIA QUÍMICA: CAS 75-09-2. ENTREGUE EM FRASCO DE VIDRO AMBAR.
</t>
  </si>
  <si>
    <t>346521</t>
  </si>
  <si>
    <t>DICLOROMETANO P.A.</t>
  </si>
  <si>
    <t>CATMAT -346521- Diclorometano, aspecto físico: líquido claro, incolor, fórmula química: CH2Cl2, massa molecular: 84,93 g/mol, pureza mínima de 99%, característica adicional: reagente P.A., número de referência química: CAS 75-09-2. Entregue em frasco de vidro ambar.</t>
  </si>
  <si>
    <t>https://www.lojalinklab.com.br/diclorometano-pa-acs-99-5-1l-controle-pc-e-pf?parceiro=1142</t>
  </si>
  <si>
    <t>CATMAT -412588- DICROMATO DE POTÁSSIO, ASPECTO FÍSICO: PÓ FINO, CRISTALINO, COR LARANJA, COMPOSIÇÃO QUÍMICA: K2CR2O7, PESO MOLECULAR: 294,18 G/MOL, PUREZA MÍNIMA DE 99%, CARACTERÍSTICA ADICIONAL: REAGENTE P.A. ACS, NÚMERO DE REFERÊNCIA QUÍMICA: CAS 7778-50-9, ENTREGUE EM FRASCO DE 250 G. ATENÇÃO: OBSERVAR A UNIDADE DE MEDIDA DO SIPAC E COLOCAR MÚLTIPLO DE 250 G.</t>
  </si>
  <si>
    <t>412588</t>
  </si>
  <si>
    <t>DICROMATO DE POTÁSSIO P.A. ACS</t>
  </si>
  <si>
    <t>CATMAT -412588- Dicromato de potássio, aspecto físico: pó fino, cristalino, cor laranja, composição química: K2Cr2O7, peso molecular: 294,18 g/mol, pureza mínima de 99%, característica adicional: reagente P.A. ACS, número de referência química: CAS 7778-50-9, entregue em frasco de 250 g. Atenção: observar a unidade de medida do SIPAC e colocar múltiplo de 250 g.</t>
  </si>
  <si>
    <t>https://www.carvalhaes.net/produto/detalhes/SY01D1005.01.AF/dicromato-de-potassio-pa-acs-100-250g</t>
  </si>
  <si>
    <t>CATMAT -370013- DICROMATO DE AMÔNIO, ASPECTO FÍSICO: PÓ CRISTALINO VERMELHO ALARANJADO, BRILHANTE, FÓRMULA QUÍMICA: (NH4)2CR2O7, PESO MOLECULAR: 252,06 G/MOL, PUREZA MÍNIMA DE 97%, CARACTERÍSTICA ADICIONAL: REAGENTE P.A., NÚMERO DE REFERÊNCIA QUÍMICA: CAS 7789-09-5. ENTREGUE EM FRASCO COM 500 G.</t>
  </si>
  <si>
    <t>370013</t>
  </si>
  <si>
    <t>DICROMATO DE AMÔNIO P.A.</t>
  </si>
  <si>
    <t>CATMAT - 376231- Dicromato de sódio, aspecto físico: pó cristalino laranja avermelhado, brilhante, peso molecular: 297,99 g/mol, fórmula química: Na2Cr2O7.2H2O (di-hidratado), pureza mínima de 99,5%, característica adicional: reagente P.A., número de referência química: CAS 7789-12-0. Entregue em frasco de 500 g. Atenção: observar a unidade de medida do SIPAC e colocar múltiplo de 500 g.</t>
  </si>
  <si>
    <t>Priscilla/Sivaldo</t>
  </si>
  <si>
    <t>https://www.lojaprolab.com.br/dicromato-de-amonio-pa-81491</t>
  </si>
  <si>
    <t>https://www.labimport.com.br/reagentes/reagente/reagente-p-dqo/dicromato-de-amonio-bicromato-pa-500g-con-99-50-dens-2-15</t>
  </si>
  <si>
    <t>https://www.didaticasp.com.br/produto/dicromato-de-amonio-pa-500g-cas-7789-09-5.html</t>
  </si>
  <si>
    <t xml:space="preserve">[DICROMATO DE SÓDIO P.A.] DIDICROMATO DE SÓDIO, ASPECTO FÍSICO: PÓ CRISTALINO LARANJA AVERMELHADO, BRILHANTE, PESO MOLECULAR: 297,99 G/MOL, FÓRMULA QUÍMICA: NA2CR2O7.2H2O (DI-HIDRATADO), PUREZA MÍNIMA DE 99,5%, CARACTERÍSTICA ADICIONAL: REAGENTE P.A., NÚMERO DE REFERÊNCIA QUÍMICA: CAS 7789-12-0. ENTREGUE EM FRASCO COM 500 G.
</t>
  </si>
  <si>
    <t>376231</t>
  </si>
  <si>
    <t>Contrações para 1 kg</t>
  </si>
  <si>
    <t>DICROMATO DE SÓDIO P.A. (2H2O)</t>
  </si>
  <si>
    <t>CATMAT - 376231- Dicromato de sódio, aspecto físico: pó cristalino laranja avermelhado, brilhante, peso molecular: 297,99 g/mol, fórmula química: Na2Cr2O7.2H2O (di-hidratado), pureza mínima de 99,5%, característica adicional: reagente P.A., número de referência química: CAS 7789-12-0. Entregue em frasco com 500 g.</t>
  </si>
  <si>
    <t>https://www.lojalinklab.com.br/dicromato-de-sodio-2h2o-pa-500g-controle-pc-e-pf?parceiro=1142</t>
  </si>
  <si>
    <t>DNTPS 100 MM, 100 MILIMOLAR POR FRASCO - CONJUNTO CONTENDO 4 DEOXINUCLEOTÍDEOS (DATP, DCTP, DGTP E DTTP), SEPARADOS EM FRASCOS DE 250UL CADA E DILUÍDOS EM SOLUÇÃO AQUOSA NA CONCENTRAÇÃO DE 100 MM. PUREZA DOS DNTPS MAIOR OU IGUAL A 99,9%, CONFIRMADA POR HPLC. LIVRE DE RNASE E ENDO- E EXO-DEOXYRIBONUCLEASE. FRASCOS COM TAMPAS DE CORES DISTINTAS, PARA FACILITAR A DIFERENCIAÇÃO. APRESENTAÇÃO: KIT DE4 MICROTUBOS COM 250 UL CADA</t>
  </si>
  <si>
    <t>398103</t>
  </si>
  <si>
    <t>esse é nosso mesmo? então precisamos solicitar um especialista na área!</t>
  </si>
  <si>
    <t>DNTP SET 100 MM</t>
  </si>
  <si>
    <t>CATMAT -398103- DNTPS 100 MM, 100 MILIMOLAR POR FRASCO - CONJUNTO CONTENDO 4 DEOXINUCLEOTÍDEOS (DATP, DCTP, DGTP E DTTP), SEPARADOS EM FRASCOS DE 250UL CADA E DILUÍDOS EM SOLUÇÃO AQUOSA NA CONCENTRAÇÃO DE 100 MM. PUREZA DOS DNTPS MAIOR OU IGUAL A 99,9%, CONFIRMADA POR HPLC. LIVRE DE RNASE E ENDO- E EXO-DEOXYRIBONUCLEASE. FRASCOS COM TAMPAS DE CORES DISTINTAS, PARA FACILITAR A DIFERENCIAÇÃO. APRESENTAÇÃO: KIT DE4 MICROTUBOS COM 250 UL CADA</t>
  </si>
  <si>
    <t>Frascos</t>
  </si>
  <si>
    <t>https://labtrade.com.br/produto/dntp-set/</t>
  </si>
  <si>
    <t>CATMAT -449870- ÁCIDO ETILENODIAMINOTETRACÉTICO (EDTA) COMPOSIÇÃO QUÍMICA: SAL MAGNÉSICO DISSÓDICO HIDRATADO , MASSA MOLAR: 358,50 G/MOL, FÓRMULA QUÍMICA: C10H12MGN2NA2O8 · XH2O , PUREZA MÍNIMA DE 99% , REAGENTE P.A., NÚMERO DE REFERÊNCIA QUÍMICA*: CAS 14402-88-1 , ASPECTO FÍSICO": PÓ. ENTREGUE EM FRASCO DE 25 G. ATENÇÃO: OBSERVAR A UNIDADE DE MEDIDA DO SIPAC E COLOCAR MÚLTIPLO DE 25 G.</t>
  </si>
  <si>
    <t>449870</t>
  </si>
  <si>
    <t>EDTA de Magnésio Sal Dissódico P.A.</t>
  </si>
  <si>
    <t>CATMAT -449870- Ácido Etilenodiaminotetracético (Edta) Composição Química: Sal Magnésico Dissódico Hidratado , Massa Molar: 358,50 G/MOL, Fórmula Química: C10H12MgN2Na2O8 · XH2O , Pureza Mínima De 99% , Reagente P.A., Número De Referência Química*: CAS 14402-88-1 , Aspecto Físico": Pó. Entregue em frasco de 25 g. Atenção: observar a unidade de medida do SIPAC e colocar múltiplo de 25 g.</t>
  </si>
  <si>
    <t>https://www.lojaacscientifica.com.br/edta-de-magnesio-sal-dissodico-pa-xh2o?variation=13089107</t>
  </si>
  <si>
    <t>https://www.orionprodutoscientificos.com.br/edta-sal-magnesio-e-dissodico-pa-xh2o-100g-exodo-cientifica?utm_source=Site&amp;utm_medium=GoogleMerchant&amp;utm_campaign=GoogleMerchant</t>
  </si>
  <si>
    <t>CATMAT -366502- ÁCIDO ETILENODIAMINOTETRACÉTICO (EDTA), ASPECTO FÍSICO PÓ BRANCO CRISTALINO, PESO MOLECULAR 372,24 G/MOL, FÓRMULA QUÍMICA C10H14N2O8NA2.2H2O (SAL DISSÓDICO DIHIDRATADO), PUREZA MÍNIMA DE 99%, CARACTERÍSTICA ADICIONAL REAGENTE P.A., NÚMERO DE REFERÊNCIA QUÍMICA CAS 6381-92-6. ENTREGUE EM FRASCO COM 500 G. ATENÇÃO: OBSERVAR A UNIDADE DE MEDIDA DO SIPAC E COLOCAR MÚLTIPLO DE 500 G.</t>
  </si>
  <si>
    <t>366502</t>
  </si>
  <si>
    <t>EDTA SAL DISSÓDICO (2H2O) P.A.</t>
  </si>
  <si>
    <t>CATMAT -366502- Ácido etilenodiaminotetracético (EDTA), aspecto físico pó branco cristalino, peso molecular 372,24 g/mol, fórmula química C10H14N2O8NA2.2H2O (sal dissódico dihidratado), pureza mínima de 99%, característica adicional reagente P.A., número de referência química CAS 6381-92-6. Entregue em frasco com 500 g. Atenção: observar a unidade de medida do SIPAC e colocar múltiplo de 500 g.</t>
  </si>
  <si>
    <t>https://www.labimport.com.br/reagentes/sal/edta-sal-dissodico-2h2o-pa-500g-11917</t>
  </si>
  <si>
    <t>https://www.laderquimica.com.br/edta-sal-dissodico-2h2o-pa-500g-dinamica?utm_source=Site&amp;utm_medium=GoogleShopping&amp;utm_campaign=GooglePMax&amp;srsltid=AfmBOorD0OAevZ6RwAYxMJJPDN3As347ZPlhAB6BaHyFYaf5BstvvVd5JDE</t>
  </si>
  <si>
    <t>https://www.orionprodutoscientificos.com.br/edta-sal-dissodico-2h2o-pa-500g-exodo-cientifica</t>
  </si>
  <si>
    <t>CATMAT - 349846 - ENXOFRE, ASPECTO FÍSICO: PÓ FINO AMARELO, FÓRMULA QUÍMICA: S, PESO MOLECULAR: 32,07 G/MOL, PUREZA MÍNIMA DE 99,5%, NÚMERO DE REFERÊNCIA QUÍMICA: CAS 7704-34-9, ENTREGUE EM FRASCO DE 500 G. ATENÇÃO: OBSERVAR A UNIDADE DE MEDIDA DO SIPAC E COLOCAR MÚLTIPLO DE 500 G.</t>
  </si>
  <si>
    <t>349846</t>
  </si>
  <si>
    <t>ENXOFRE EM PÓ PURO</t>
  </si>
  <si>
    <t>CATMAT - 349846 - Enxofre, aspecto físico: pó fino amarelo, fórmula química: S, peso molecular: 32,07 g/mol, pureza mínima de 99,5%, número de referência química: CAS 7704-34-9, entregue em frasco de 500 g. Atenção: observar a unidade de medida do SIPAC e colocar múltiplo de 500 g.</t>
  </si>
  <si>
    <t>https://www.ciruvix.com.br/enxofre-puro-500gr-dinamica</t>
  </si>
  <si>
    <t>https://www.orionprodutoscientificos.com.br/enxofre-puro-500g-exodo-cientifica?utm_source=Site&amp;utm_medium=GoogleMerchant&amp;utm_campaign=GoogleMerchant</t>
  </si>
  <si>
    <t>https://www.lojalinklab.com.br/enxofre-em-po-puro-500g-controle-pc?parceiro=1142</t>
  </si>
  <si>
    <t>CATMAT - 327785: ENZIMA PROTEINASE K 100MG EM PÓ (FORMA LIOFILIZADA), ISOLADA DO FUNGO TRITIRACHIUM ALBUM, SEM ATIVIDADES DE RNASES E DNASES. CAS N°39450-01-6.  FRASCO 100MG</t>
  </si>
  <si>
    <t>327785</t>
  </si>
  <si>
    <t>ver a necessidade de refigeração?</t>
  </si>
  <si>
    <t>ENZIMA PROTEINASE K LIVRE DE RNASE E DNASE FRACO 100 MG</t>
  </si>
  <si>
    <t>CATMAT -327785- ENZIMA PROTEINASE K 100MG EM PÓ (FORMA LIOFILIZADA), ISOLADA DO FUNGO TRITIRACHIUM ALBUM, SEM ATIVIDADES DE RNASES E DNASES. CAS N°39450-01-6. FRASCO 100MG</t>
  </si>
  <si>
    <t>EOSINA AMARELADA Y 0,5%. ESPECIFICAÇÃO: CORANTE, TIPO: EOSINA AMARELADA Y, ASPECTO FÍSICO: LÍQUIDO,CARACTERÍSTICAS ADICIONAIS: CI 45380, CONCENTRAÇÃO: SOLUÇÃO A 0,5% ALCOÓLICA, FRASCO 1 L.</t>
  </si>
  <si>
    <t>414964</t>
  </si>
  <si>
    <t>EOSINA AMARELADA Y 0,5% 1 L</t>
  </si>
  <si>
    <t>CATMAT -414964- Corante, tipo: eosina amarelada y, aspecto físico: líquido, características adicionais: ci 45380, concentração: solução a 0,5% alcoólica, frasco 1 L.</t>
  </si>
  <si>
    <t>https://www.lojaacscientifica.com.br/eosina-amarelada-y-solucao-05-aquosa-embalagem-1l</t>
  </si>
  <si>
    <t>https://www.orionprodutoscientificos.com.br/eosina-amarelada-y-solucao-3-alcoolica-1l-exodo-cientifica?utm_source=Site&amp;utm_medium=GoogleMerchant&amp;utm_campaign=GoogleMerchant</t>
  </si>
  <si>
    <t>[ESTANHO GRANULADO] ESTANHO, ASPECTO FÍSICO: GRANULADO, COR CINZA PRATA, FÓRMULA QUÍMICA: SN, PESO MOLECULAR: 118,69 G/MOL, PUREZA MÍNIMA DE 99,8%, CARACTERÍSTICA ADICIONAL : REAGENTE P.A., NÚMERO DE REFERÊNCIA QUÍMICA : CAS 7440-31-5. ENTREGUE EM FRASCO COM 100G OU 250G.</t>
  </si>
  <si>
    <t>437506</t>
  </si>
  <si>
    <t>ESTANHO GRANULADO P.A. (20 MESH)</t>
  </si>
  <si>
    <t>CATMAT -437506- ESTANHO, ASPECTO FÍSICO:GRANULADO, COR CINZA PRATA, FÓRMULA QUÍMICA:SN, PESO MOLECULAR:118,71 G/MOL, PUREZA MÍNIMA DE 99%, CARACTERÍSTICA ADICIONAL: REAGENTE P.A., NÚMERO DE REFERÊNCIA QUÍMICA :CAS 7440-31-5, entregue em frasco de 100 g. Atenção: observar a unidade de medida do SIPAC e colocar múltiplo de 100 g.</t>
  </si>
  <si>
    <t>https://www.orionprodutoscientificos.com.br/estanho-granulado-20-mesh-p-a-100-g-fabricante-neon</t>
  </si>
  <si>
    <t>https://www.lojasynth.com/reagentes-analiticosmaterias-primas/reagentes-analiticosmaterias-primas/estanho-gran-20-mesh-p-a?variant_id=301484&amp;parceiro=2827&amp;srsltid=AfmBOoropDzNEH-N-7FRHYwWemXU3EMDi_cxHDBZvpX02civ1OocvNqC2bM</t>
  </si>
  <si>
    <t>ÉTER DE PETRÓLEO 30-60°C PA</t>
  </si>
  <si>
    <t>444687</t>
  </si>
  <si>
    <t>ÉTER DE PETRÓLEO (30-60ºC) P.A.</t>
  </si>
  <si>
    <t>CATMAT -352740- Éter de petróleo, aspecto físico líquido incolor, límpido, com odor de gasolina, fórmula química mistura de hidrocarbonetos derivados do petróleo, faixa de destilação destilados entre 30 e 60ºc, teor de pureza pureza mínima de 99,5%, característica adicional reagente P.A., número de referência química CAS 8032-32-4. Entregue em frasco de vidro ambar.</t>
  </si>
  <si>
    <t>https://www.labimport.com.br/reagentes/eter-de-petroleo/eter-de-petroleo-30-a-60-pa-acs-1-l</t>
  </si>
  <si>
    <t>https://www.lojalinklab.com.br/eter-de-petroleo-30-70-pa-1l-controle-pc?parceiro=1142</t>
  </si>
  <si>
    <t>https://www.lojaacscientifica.com.br/eter-de-petroleo-30-60-pa-acs-embalagem-1l</t>
  </si>
  <si>
    <t>CATMAT - 456251 - ÉTER DIETÍLICO, ASPECTO FÍSICO: LÍQUIDO, PUREZA MÍNIMA DE 99%, PESO MOLECULAR: 74,12 G/MOL, CARACTERÍSTICA ADICIONAL: REAGENTE P.A. ACS, NÚMERO DE REFERÊNCIA QUÍMICA: CAS 60-29-7.</t>
  </si>
  <si>
    <t>456251</t>
  </si>
  <si>
    <t>ÉTER ETÍLICO P.A. ACS (DIETÍLICO)</t>
  </si>
  <si>
    <t>CATMAT - 456251 - Éter dietílico, aspecto físico: líquido, pureza mínima de 99%, peso molecular: 74,12 g/mol, característica adicional: reagente P.A. ACS, número de referência química: CAS 60-29-7. Entregue em frasco de vidro ambar.</t>
  </si>
  <si>
    <t>https://www.lojalinklab.com.br/eter-etilico-eter-dietilico-pa-acs-99-anidro-1l-controle-pc-e-pf?parceiro=1142</t>
  </si>
  <si>
    <t>https://www.didaticasp.com.br/produto/eter-etilico-pa-acs-1l-cas-60-29-7-pfssp-concentracao-98-densidade-071.html</t>
  </si>
  <si>
    <t>CATMAT -413588- ETILENOGLICOL MONOMETIL ÉTER (2-METOXIETANOL) 99% P.A.; LÍQUIDO TRANSPARENTE; FÓRMULA C3H8O2; PESO MOLECULAR 76,09G/MOL; CAS 109-86-4.</t>
  </si>
  <si>
    <t>413588</t>
  </si>
  <si>
    <t>ETILENOGLICOL MONOMETIL ÉTER (2-METOXIETANOL) P.A.</t>
  </si>
  <si>
    <t>CATMAT -413588- Etilenoglicol Monometil Éter (2-metoxietanol) 99% P.A.; Líquido transparente; Fórmula C3H8O2; Peso molecular 76,09g/mol; CAS 109-86-4. Entregue em frasco de vidro ambar.</t>
  </si>
  <si>
    <t>https://www.lojaacscientifica.com.br/etilenoglicol-monoetil-eter-pa-embalagem-1l</t>
  </si>
  <si>
    <t>https://www.orionprodutoscientificos.com.br/etilenoglicol-monoetil-eter-etilglicol-pa-1l-exodo-cientifica?utm_source=Site&amp;utm_medium=GoogleMerchant&amp;utm_campaign=GoogleMerchant</t>
  </si>
  <si>
    <t>https://www.labimport.com.br/reagentes/etilenoglicol/etilenoglicol-monoetil-eter-etiglicol-pa-1l-11929</t>
  </si>
  <si>
    <t>CATMAT -350030- ETILENOGLICOL (ETANO-1,2-DIOL), ASPECTO FÍSICO LÍQUIDO INCOLOR, ODOR ADOCICADO, PESO MOLECULAR 62,07, FÓRMULA QUÍMICA C2H6O2, GRAU DE PUREZA PUREZA MÍNIMA DE 99,5%, CARACTERÍSTICA ADICIONAL REAGENTE P.A., NÚMERO DE REFERÊNCIA QUÍMICA CAS 107-21-1</t>
  </si>
  <si>
    <t>350030</t>
  </si>
  <si>
    <t>ETILENOGLICOL P.A.</t>
  </si>
  <si>
    <t>CATMAT -350030- ETILENOGLICOL (ETANO-1,2-DIOL), ASPECTO FÍSICO LÍQUIDO INCOLOR, ODOR ADOCICADO, PESO MOLECULAR 62,07, FÓRMULA QUÍMICA C2H6O2, GRAU DE PUREZA PUREZA MÍNIMA DE 99,5%, CARACTERÍSTICA ADICIONAL REAGENTE P.A., NÚMERO DE REFERÊNCIA QUÍMICA CAS 107-21-1. Entregue em frasco de vidro ambar</t>
  </si>
  <si>
    <t>https://www.lojaacscientifica.com.br/etilenoglicol-pa-mono?variation=14182732</t>
  </si>
  <si>
    <t>https://www.labimport.com.br/reagentes/reagentes-e-solventes/etilenoglicol-pa-mono-1l-11931</t>
  </si>
  <si>
    <t>https://www.lojasynth.com/reagentes-analiticosmaterias-primas/reagentes-analiticosmaterias-primas/etileno-glicol-1100g-p-a?variant_id=307747&amp;parceiro=2827&amp;srsltid=AfmBOopS4-vPLaG-fc4vz0pI3qF1WJyZtit00pyrccPJO9f9CT73sy9rRyE</t>
  </si>
  <si>
    <t>CATMAT -336304- SUPLEMENTO PARA MEIO DE CULTURA ASPECTO FÍSICO: PÓ , TIPO: EXTRATO DE CARNE, FRASCO 500 G.</t>
  </si>
  <si>
    <t>336304</t>
  </si>
  <si>
    <t>EXTRATO DE CARNE FRASCO 500G</t>
  </si>
  <si>
    <t>CATMAT -336304- Suplemento Para Meio De Cultura Aspecto Físico: Pó , Tipo: Extrato De Carne, frasco 500 g.</t>
  </si>
  <si>
    <t>https://www.orionprodutoscientificos.com.br/extrato-de-carne-frasco-500g-himedia?utm_source=Site&amp;utm_medium=GoogleMerchant&amp;utm_campaign=GoogleMerchant</t>
  </si>
  <si>
    <t>https://www.dsyslab.com.br/www-dsyslab-com-br/meios-de-cultura/agar-em-po-desidratado/extrato-de-carne-kasvi?parceiro=7063&amp;srsltid=AfmBOooxF3acG2XfoB-hrOOsYCt1O77sHkId6jElgLTBzSlv8CickePGAUU</t>
  </si>
  <si>
    <t>https://www.forlabexpress.com.br/extrato-de-carne-500g-himedia/?srsltid=AfmBOopPCcGCypNBny9t-z7P9TGCRovp2ale5amsqBl5zOqzgDcFPp6g_is</t>
  </si>
  <si>
    <t>CATMAT -329579- EXTRATO DE LEVEDURA (YEAST EXTRACT POWDER-EXTRATO DE LEVEDURA EM PÓ-) SUPLEMENTO PARA MEIO DE CULTURA ASPECTO FÍSICO: PÓ, FRASCO 500 G.</t>
  </si>
  <si>
    <t>329579</t>
  </si>
  <si>
    <t>EXTRATO DE LEVEDURA FRASCO 500 G</t>
  </si>
  <si>
    <t>CATMAT -329579- Extrato de levedura (Yeast Extract Powder-extrato de levedura em pó-) suplemento para meio de cultura aspecto físico: pó, frasco 500 g.</t>
  </si>
  <si>
    <t>https://www.lojanetlab.com.br/meios-de-cultura/agar/extrato-de-levedura-frasco-500g-k25-611005-kasvi?parceiro=7105&amp;gad_source=4&amp;gclid=Cj0KCQjwncWvBhD_ARIsAEb2HW-Ni0oIoc9A-KJ8YqvWmSIfz7zcqSg9sT2klwze5Um6WGQGrd-A0lIaAvksEALw_wcB</t>
  </si>
  <si>
    <t>https://www.lojaprolab.com.br/extrato-levedura-80510?utm_source=google&amp;utm_medium=feed&amp;utm_campaign=shopping&amp;gad_source=4&amp;gclid=Cj0KCQjwncWvBhD_ARIsAEb2HW8duOMba6wr0ywwZEtlLWPIIigy_o9DGuwlY-8kOgkCvqPTKaK-E7waArUJEALw_wcB</t>
  </si>
  <si>
    <t>https://www.biosynesis.com.br/produto/extrato-de-levedura-frasco-500-g.html?utm_source=Site&amp;utm_medium=GoogleMerchant&amp;utm_campaign=GoogleMerchant&amp;gad_source=4&amp;gclid=Cj0KCQjwncWvBhD_ARIsAEb2HW8uu331nDLJ2slCSGCL1dhsZBxExroFpEaTGzeJWsGor6_WT9BeNyYaAlDlEALw_wcB</t>
  </si>
  <si>
    <t>CATMAT - 302231 - EXTRATO DE LEVEDURA, COMPOSIÇÃO: CASCA C/ PAREDES CELULARES ATIVADAS C/ ENZIMA BETA, ASPECTO FÍSICO: PÓ GRANULADO, COR: CREME, APLICAÇÃO: DAR ESTRUTURA E AROMA AO VINHO. ENTREGUE EM FRASCOS DE 500 G.</t>
  </si>
  <si>
    <t>302231</t>
  </si>
  <si>
    <t>não consigo identificar o produto comercial deste item</t>
  </si>
  <si>
    <t>EXTRATO DE LEVEDURA VINHO</t>
  </si>
  <si>
    <t>CATMAT -302231- EXTRATO DE LEVEDURA, COMPOSIÇÃO: CASCA C/ PAREDES CELULARES ATIVADAS C/ ENZIMA BETA, ASPECTO FÍSICO: PÓ GRANULADO, COR: CREME, APLICAÇÃO: DAR ESTRUTURA E AROMA AO VINHO. ENTREGUE EM FRASCOS DE 500 G.</t>
  </si>
  <si>
    <t>CATMAT -377674- N-FENILTIOUREIA, ASPECTO FÍSICO: PÓ CRISTALINO ESBRANQUIÇADO, FÓRMULA QUÍMICA: C6H5NHCSNH2 (1-FENIL-2-TIOUREIA), PESO MOLECULAR: 152,23 G/MOL, GRAU DE PUREZA: PUREZA MÍNIMA DE 98%, NÚMERO DE REFERÊNCIA QUÍMICA: CAS 103-85-5, ENTREGUE EM 10 G. ATENÇÃO: OBSERVAR A UNIDADE DE MEDIDA DO SIPAC E COLOCAR MÚLTIPLO DE 10 G.</t>
  </si>
  <si>
    <t>377674</t>
  </si>
  <si>
    <t>FENILTIOCARBAMIDA (FENILTIOUREIA)</t>
  </si>
  <si>
    <t>CATMAT -377674- N-feniltioureia, aspecto físico: pó cristalino esbranquiçado, fórmula química: C6H5NHCSNH2 (1-fenil-2-tioureia), peso molecular: 152,23 g/mol, grau de pureza: pureza mínima de 98%, número de referência química: CAS 103-85-5, entregue em 10 g. Atenção: observar a unidade de medida do SIPAC e colocar múltiplo de 10 g.</t>
  </si>
  <si>
    <t>https://www.orionprodutoscientificos.com.br/feniltiocarbamida-feniltioureia-pa-5g-exodo-cientifica</t>
  </si>
  <si>
    <t>CATMAT - 416321 - FENOL, ASPECTO FÍSICO: CRISTAL INCOLOR, ALTAMENTE HIGROSCÓPICO, FÓRMULA QUÍMICA: C6H5OH, PESO MOLECULAR: 94,11 G/MOL, PUREZA MÍNIMA DE 99 %, CARACTERÍSTICA ADICIONAL: REAGENTE P.A. ACS, NÚMERO DE REFERÊNCIA QUÍMICA: CAS 108-95-2. ENTREGUE EM FRASCO COM 500 G. ATENÇÃO: OBSERVAR A UNIDADE DE MEDIDA DO SIPAC E COLOCAR MÚLTIPLO DE 500 G.</t>
  </si>
  <si>
    <t>416321</t>
  </si>
  <si>
    <t>Faltou incluir</t>
  </si>
  <si>
    <t>FENOL CRISTAL P.A. ACS (ÁCIDO FÊNICO)</t>
  </si>
  <si>
    <t>CATMAT - 416321 - Fenol, aspecto físico: cristal incolor, altamente higroscópico, fórmula química: C6H5OH, peso molecular: 94,11 g/mol, pureza mínima de 99 %, característica adicional: reagente P.A. ACS, número de referência química: CAS 108-95-2. Entregue em frasco com 500 g. Atenção: observar a unidade de medida do SIPAC e colocar múltiplo de 500 g.</t>
  </si>
  <si>
    <t>https://www.labimport.com.br/reagentes/fenol/fenol-cristal-pa-acs-acido-fenico-500g</t>
  </si>
  <si>
    <t>https://quimisulsc.com.br/produto/fenol-cristal-p-a/?srsltid=AfmBOor-orOsTzxOMzdgNUK0kSKqISWiNri5SXzO6ejCDSVLh5ogsH9cU0c</t>
  </si>
  <si>
    <t>https://www.orionprodutoscientificos.com.br/fenol-cristal-pa-acs-acido-fenico-1kg-exodo-cientifica?utm_source=Site&amp;utm_medium=GoogleMerchant&amp;utm_campaign=GoogleMerchant</t>
  </si>
  <si>
    <t>CATMAT -366475- FENOLFTALEÍNA, COMPOSIÇÃO: C20H1404, PESO MOLECULAR: 318,33 G/MOL, ASPECTO FÍSICO: CRISTAL BRANCO A LEVEMENTE AMARELADO, CARACTERÍSTICA ADICIONAL: REAGENTE P.A., NÚMERO DE REFERÊNCIA QUÍMICA: CAS 77-09-8. ENTREGUE COMO FRASCO DE 25 G. ATENÇÃO: OBSERVAR A UNIDADE DE MEDIDA DO SIPAC E COLOCAR MÚLTIPLO DE 25 G.</t>
  </si>
  <si>
    <t>366475</t>
  </si>
  <si>
    <t>FENOLFTALEÍNA P.A.</t>
  </si>
  <si>
    <t>CATMAT -366475- Fenolftaleína, composição: C20H1404, peso molecular: 318,33 g/mol, aspecto físico: cristal branco a levemente amarelado, característica adicional: reagente P.A., número de referência química: CAS 77-09-8. Entregue como frasco de 25 g. Atenção: observar a unidade de medida do SIPAC e colocar múltiplo de 25 g.</t>
  </si>
  <si>
    <t>https://eplabequipamentos.mercadoshops.com.br/MLB-3525284517-fenolftaleina-pa-acs-ci-764-25gr-dnm-_JM?gad_source=4&amp;gclid=CjwKCAjwzN-vBhAkEiwAYiO7oKrGjNfM2bAv2kuRkqD5_q4E3TsV3JsJUVvgnivl5IhC_s1LmTv_RxoC-REQAvD_BwE</t>
  </si>
  <si>
    <t>https://www.labimport.com.br/reagentes/fenolftaleina/fenolftaleina-pa-25g</t>
  </si>
  <si>
    <t>https://www.laderquimica.com.br/fenolftaleina-pa-25g-neon</t>
  </si>
  <si>
    <t xml:space="preserve">[FERROCIANETO DE POTÁSSIO P.A. ACS] FERRICIANETO DE POTÁSSIO, ASPECTO FÍSICO PÓ CRISTALINO VERMELHO BRILHANTE, FÓRMULA QUÍMICA K3FE(CN)6, PESO MOLECULAR 329,25 G/MOL, PUREZA MÍNIMA DE 99%, CARACTERÍSTICA ADICIONAL REAGENTE P.A. ACS, NÚMERO DE REFERÊNCIA QUÍMICA: CAS 13746-66-2. ENTREGUE EM FRASCO DE 250 G. ATENÇÃO: OBSERVAR A UNIDADE DE MEDIDA DO SIPAC E COLOCAR MÚLTIPLO DE 250 G.
</t>
  </si>
  <si>
    <t>374800</t>
  </si>
  <si>
    <t>FERRICIANETO DE POTÁSSIO P.A. ACS</t>
  </si>
  <si>
    <t>CATMAT -374800- Ferricianeto de potássio, aspecto físico pó cristalino vermelho brilhante, fórmula química K3Fe(CN)6, peso molecular 329,25 g/mol, pureza mínima de 99%, característica adicional reagente P.A. ACS, número de referência química: CAS 13746-66-2. Entregue em frasco de 250 g. Atenção: observar a unidade de medida do SIPAC e colocar múltiplo de 250 g.</t>
  </si>
  <si>
    <t>https://www.lojasynth.com/reagentes-analiticosmaterias-primas/reagentes-analiticosmaterias-primas/ferricianeto-de-potassio-p-a?parceiro=2827&amp;gad_source=4&amp;gclid=CjwKCAjwzN-vBhAkEiwAYiO7oAWRcik0Wo0R5kO85pFZSrRcz1TsCcjMH2ljtpxvC0rIIv2M8LD_nRoC0eEQAvD_BwE&amp;variant_id=301482</t>
  </si>
  <si>
    <t>https://www.labimport.com.br/reagentes/ferrocianeto/ferricianeto-de-potassio-pa-acs-250g</t>
  </si>
  <si>
    <t>https://www.lojaacscientifica.com.br/ferricianeto-de-potassio-pa-acs?variation=14179527</t>
  </si>
  <si>
    <t>CATMAT -353654- FERRO ELEMENTAR, ASPECTO FÍSICO: PÓ AGULHADO CINZA, FÓRMULA QUÍMICA: FE, PESO MOLECULAR: 55,85 G/MOL, TEOR DE PUREZA: PUREZA MÍNIMA DE 99%, CARACTERÍSTICA ADICIONAL: REAGENTE P.A., NÚMERO DE REFERÊNCIA QUÍMICA: CAS 7439-89-6, ENTREGUE EM FRASCO DE 500 G. ATENÇÃO: OBSERVAR A UNIDADE DE MEDIDA DO SIPAC E COLOCAR MÚLTIPLO DE 500 G.</t>
  </si>
  <si>
    <t>353654</t>
  </si>
  <si>
    <t>FERRO REDUZIDO P.A.</t>
  </si>
  <si>
    <t>CATMAT -353654- Ferro elementar, aspecto físico: pó agulhado cinza, fórmula química: Fe, peso molecular: 55,85 g/mol, teor de pureza: pureza mínima de 99%, característica adicional: reagente P.A., número de referência química: CAS 7439-89-6, entregue em frasco de 500 g. Atenção: observar a unidade de medida do SIPAC e colocar múltiplo de 500 g.</t>
  </si>
  <si>
    <t>https://www.labimport.com.br/reagentes/ferro-reduzido/ferro-reduzido-po-pa-500g-11951</t>
  </si>
  <si>
    <t>https://www.orionprodutoscientificos.com.br/ferro-reduzido-po-pa-500g-exodo-cientifica-FR04704RA?utm_source=Site&amp;utm_medium=GoogleMerchant&amp;utm_campaign=GoogleMerchant</t>
  </si>
  <si>
    <t>https://www.lojaacscientifica.com.br/ferro-reduzido-po-pa?variation=14179530</t>
  </si>
  <si>
    <t>CATMAT -353039- FERROCIANETO DE POTÁSSIO, ASPECTO FÍSICO CRISTAL AMARELO, FÓRMULA QUÍMICA K4FE(CN)6.3H20 (TRI-HIDRATADO), PESO MOLECULAR 422,39 G/MOL, MÍNIMA DE 98%, CARACTERÍSTICA ADICIONAL REAGENTE P.A., NÚMERO DE REFERÊNCIA QUÍMICA: CAS 14459-95-1, ENTREGUE EM FRASCO DE 250 G. ATENÇÃO: OBSERVAR A UNIDADE DE MEDIDA DO SIPAC E COLOCAR MÚLTIPLO DE 250 G.</t>
  </si>
  <si>
    <t>353039</t>
  </si>
  <si>
    <t>FERROCIANETO DE POTÁSSIO (3H20) P.A.</t>
  </si>
  <si>
    <t>CATMAT -353039- Ferrocianeto de potássio, aspecto físico cristal amarelo, fórmula química K4Fe(CN)6.3H20 (tri-hidratado), peso molecular 422,39 g/mol, mínima de 98%, característica adicional reagente P.A., número de referência química: CAS 14459-95-1, entregue em frasco de 250 g. Atenção: observar a unidade de medida do SIPAC e colocar múltiplo de 250 g.</t>
  </si>
  <si>
    <t>https://www.labimport.com.br/reagentes/ferricianeto/ferrocianeto-de-potassio-3h2o-pa-acs-250g-conc-98-5-dens-1-85</t>
  </si>
  <si>
    <t>https://www.orionprodutoscientificos.com.br/ferrocianeto-de-potassio-3h2o-pa-250g-exodo-cientifica</t>
  </si>
  <si>
    <t>https://www.lojalinklab.com.br/ferrocianeto-de-potassio-3h2o-pa-250g-sem-controle?parceiro=1142</t>
  </si>
  <si>
    <t>CATMAT -356158- 1,3,5-TRI-HIDROXIBENZENO (FLOROGLUCINOL), ASPECTO FÍSICO:PÓ ESBRANQUIÇADO, CRISTALINO, INODORO, FÓRMULA QUÍMICA: C6H6O3.2H2O (DIHIDRATADO), PESO MOLECULAR:162,14 G/MOL, PUREZA MÍNIMA DE 98%, CARACTERÍSTICA ADICIONAL:REAGENTE P.A., NÚMERO DE REFERÊNCIA QUÍMICA: CAS 6099-90-7.  ENTREGUE EM FRASCO COM 25G. ATENÇÃO: OBSERVAR A UNIDADE DE MEDIDA DO SIPAC E COLOCAR MÚLTIPLO DE 25G.</t>
  </si>
  <si>
    <t>356158</t>
  </si>
  <si>
    <t>80 foi aumentado para 100</t>
  </si>
  <si>
    <t>FLOROGLUCINOL (2H2O) P.A.</t>
  </si>
  <si>
    <t>CATMAT -356158- 1,3,5-TRI-HIDROXIBENZENO (FLOROGLUCINOL), ASPECTO FÍSICO:PÓ ESBRANQUIÇADO, CRISTALINO, INODORO, FÓRMULA QUÍMICA: C6H6O3.2H2O (DIHIDRATADO), PESO MOLECULAR:162,14 G/MOL, PUREZA MÍNIMA DE 98%, CARACTERÍSTICA ADICIONAL:REAGENTE P.A., NÚMERO DE REFERÊNCIA QUÍMICA: CAS 6099-90-7. Entregue em frasco com 25g. Atenção: observar a unidade de medida do SIPAC e colocar múltiplo de 25g.</t>
  </si>
  <si>
    <t>https://www.lojalinklab.com.br/floroglucinol-fluroglucina-2h2o-pa-25g-sem-controle?parceiro=1142</t>
  </si>
  <si>
    <t>https://www.lojaacscientifica.com.br/floroglucinolfluroglucina-2h2o-pa-embalagem-25g</t>
  </si>
  <si>
    <t>https://www.orionprodutoscientificos.com.br/floroglucinolfluroglucina-2h2o-pa-25g-exodo-cientifica</t>
  </si>
  <si>
    <t>CATMAT -412629- FLUORETO DE SÓDIO, ASPECTO FÍSICO PÓ CRISTALINO BRANCO, INODORO, FÓRMULA QUÍMICA NAF, PESO MOLECULAR 41,99 G/MOL, PUREZA MÍNIMA DE 99%, CARACTERÍSTICA ADICIONAL REAGENTE P.A, NÚMERO DE REFERÊNCIA QUÍMICA CAS 7681-49-4. ENTREGUE EM FRASCO COM 100 G. ATENÇÃO: OBSERVAR A UNIDADE DE MEDIDA DO SIPAC E COLOCAR MÚLTIPLO DE 100 G.</t>
  </si>
  <si>
    <t>412629</t>
  </si>
  <si>
    <t>FLUORETO DE SÓDIO P.A.</t>
  </si>
  <si>
    <t>CATMAT -412629- Fluoreto de sódio, aspecto físico pó cristalino branco, inodoro, fórmula química NAF, peso molecular 41,99 g/mol, pureza mínima de 99%, característica adicional reagente P.A, número de referência química CAS 7681-49-4. Entregue em frasco com 100 g. Atenção: observar a unidade de medida do SIPAC e colocar múltiplo de 100 g.</t>
  </si>
  <si>
    <t>https://www.lojalinklab.com.br/fluoreto-de-sodio-pa-500g-controle-eb-e-pc</t>
  </si>
  <si>
    <t>CATMAT -362990- FORMALDEÍDO (FORMOL), ASPECTO FÍSICO: LÍQUIDO INCOLOR, LÍMPIDO, FÓRMULA QUÍMICA: H2CO, PESO MOLECULAR: 30,03 G/MOL, GRAU DE PUREZA: CONCENTRAÇÃO ENTRE 37 E 40%, NÚMERO DE REFERÊNCIA QUÍMICA: CAS 50-00-0. ENTREGUE EM BOMBONA DE 5 L. ATENÇÃO: OBSERVAR A UNIDADE DE MEDIDA DO SIPAC E COLOCAR MÚLTIPLO DE 5 L.</t>
  </si>
  <si>
    <t>362990</t>
  </si>
  <si>
    <t>FORMALDEIDO (FORMOL) 37-40%</t>
  </si>
  <si>
    <t>CATMAT -362990- Formaldeído (formol), aspecto físico: líquido incolor, límpido, fórmula química: H2CO, peso molecular: 30,03 g/mol, grau de pureza: concentração entre 37 e 40%, número de referência química: CAS 50-00-0. Entregue em Bombona de 5 L. Atenção: observar a unidade de medida do SIPAC e colocar múltiplo de 5 L.</t>
  </si>
  <si>
    <t>https://www.labimport.com.br/reagentes/formaldeido/formaldeido-37-puro-inibido-1-l-11955</t>
  </si>
  <si>
    <t>https://quimisulsc.com.br/produto/formaldeido-37/?srsltid=AfmBOopfac4jLHV35ZDfuXD3J0KIpYOxjOb8qZeiXWb_LHi9svn5QSAB_s4</t>
  </si>
  <si>
    <t>https://www.forlabexpress.com.br/formaldeido-37-puro-inibido-1l-acs-cientifica/?srsltid=AfmBOooiBAJ8khGH6U6i1wQpeRbdW4xxcb7N6sMWmnY_9nX1SqhpzEKQAOo</t>
  </si>
  <si>
    <t>FORMALDEÍDO (FORMOL), ASPECTO FÍSICO LÍQUIDO INCOLOR, LÍMPIDO, FÓRMULA QUÍMICA H2CO, PESO MOLECULAR 30,03, GRAU DE PUREZA CONCENTRAÇÃO MÍNIMA DE 35%, CARACTERISTICA ADICIONAL REAGENTE P.A., NÚMERO DE REFERÊNCIA QUÍMICA CAS 50-00-0</t>
  </si>
  <si>
    <t>468794</t>
  </si>
  <si>
    <t>FORMALDEÍDO P.A. (FORMOL)</t>
  </si>
  <si>
    <t>CATMAT -357876- Formol (formaldeído), aspecto físico líquido incolor, límpido, fórmula química CH2O, peso molecular: 30,03 g/mol, grau de pureza concentração mínima de 35%, característica adicional reagente P.A., número de referência química CAS 50-00-0. Entregue em frasco de vidro ambar</t>
  </si>
  <si>
    <t>https://www.labimport.com.br/reagentes/formaldeido/formaldeido-pa-acs-1-l-11959</t>
  </si>
  <si>
    <t>https://www.orionprodutoscientificos.com.br/formaldeido-pa-1l-exodo-cientifica</t>
  </si>
  <si>
    <t>https://www.forlabexpress.com.br/formaldeido-37-puro-inibido-1l-acs-cientifica/?srsltid=AfmBOoq0vcayr9ZoDY7yjoYkVbBxriJB6EhKR6GnKNBNgeSYB2N_3t9Xs58</t>
  </si>
  <si>
    <t>FOSFATO DE AMÔNIO, ASPECTO FÍSICO: PÓ OU CRISTAL BRANCO BRILHANTE, PESO MOLECULAR: 115,03 G,MOL, FÓRMULA QUÍMICA: NH4 H2PO4 (MONOBÁSICO), TEOR DE PUREZA: PUREZA MÍNIMA DE 99%, CARACTERÍSTICA ADICIONAL: REAGENTE P.A., NÚMERO DE REFERÊNCIA QUÍMICA: CAS 7722-76-1. FRASCO COM 250G</t>
  </si>
  <si>
    <t>353013</t>
  </si>
  <si>
    <t>FOSFATO DE AMÔNIO MONOBÁSICO P.A.</t>
  </si>
  <si>
    <t>CATMAT -353013- FOSFATO DE AMÔNIO, ASPECTO FÍSICO: PÓ OU CRISTAL BRANCO BRILHANTE, PESO MOLECULAR: 115,03 G,MOL, FÓRMULA QUÍMICA: NH4 H2PO4 (MONOBÁSICO), TEOR DE PUREZA: PUREZA MÍNIMA DE 99%, CARACTERÍSTICA ADICIONAL: REAGENTE P.A., NÚMERO DE REFERÊNCIA QUÍMICA: CAS 7722-76-1. Entregue em frasco de 500 g. Atenção: observar a unidade de medida do SIPAC e colocar múltiplo de 500 g.</t>
  </si>
  <si>
    <t>https://www.labimport.com.br/reagentes/fosfato-de-amonio/fosfato-de-amonio-monobasico-pa-acs-1kg</t>
  </si>
  <si>
    <t>https://www.orionprodutoscientificos.com.br/fosfato-de-amonio-monobasico-p-a-1000-g-fabricante-neon?utm_source=Site&amp;utm_medium=GoogleMerchant&amp;utm_campaign=GoogleMerchant</t>
  </si>
  <si>
    <t>https://www.didaticasp.com.br/produto/fosfato-de-amonio-monobasico-pa-1kg-cas-7722-76-1.html</t>
  </si>
  <si>
    <t xml:space="preserve">CATMAT - 352747 - FOSFATO DE CÁLCIO, ASPECTO FÍSICO: PÓ BRANCO, FÓRMULA QUÍMICA: CAHPO4 (BIBÁSICO ANIDRO), PESO MOLECULAR: 136,06 G,MOL, TEOR DE PUREZA: PUREZA MÍNIMA DE 98%, CARACTERÍSTICA ADICIONAL: REAGENTE P.A., NÚMERO DE REFERÊNCIA QUÍMICA: CAS 7757-93-9. ENTREGUE EM FRASCO COM 500 G. ATENÇÃO: OBSERVAR A UNIDADE DE MEDIDA DO SIPAC E COLOCAR MÚLTIPLO DE 500 G.
</t>
  </si>
  <si>
    <t>352747</t>
  </si>
  <si>
    <t>FOSFATO DE CÁLCIO BB (BIBÁSICO) ANIDRO P.A.</t>
  </si>
  <si>
    <t>CATMAT - 352747 - Fosfato de cálcio, aspecto físico: pó branco, fórmula química: cahpo4 (bibásico anidro), peso molecular: 136,06 g,mol, teor de pureza: pureza mínima de 98%, característica adicional: reagente P.A., número de referência química: cas 7757-93-9. Entregue em frasco com 500 g. Atenção: observar a unidade de medida do SIPAC e colocar múltiplo de 500 g.</t>
  </si>
  <si>
    <t>https://www.labimport.com.br/reagentes/fosfato-de-calcio/fosfato-de-calcio-bibasico-anidro-pa-500g</t>
  </si>
  <si>
    <t>https://www.lojaacscientifica.com.br/fosfato-de-calcio-bb-anidro-pa?variation=14179555</t>
  </si>
  <si>
    <t>https://www.forlabexpress.com.br/fosfato-de-calcio-bb-anidro-pa-500g-acs-cientifica/?srsltid=AfmBOoqW92OV0NvxgqQNgeBwUbzHEfO2eQYIWC6144fuPmeEZ9HduSNyJyw</t>
  </si>
  <si>
    <t>CATMAT -358108- FOSFATO DE CÁLCIO, ASPECTO FÍSICO: PÓ BRANCO, CRISTALINO, INODORO, FÓRMULA QUÍMICA: CA(H2PO4)2 - (MONOBÁSICO ANIDRO), PESO MOLECULAR: 234,05 G/MOL, PUREZA MÍNIMA DE 95%, CARACTERÍSTICA ADICIONAL REAGENTE P.A., NÚMERO DE REFERÊNCIA QUÍMICA: CAS 231-837-1. ENTREGUE EM FRASCO DE 500 G. ATENÇÃO: OBSERVAR A UNIDADE DE MEDIDA DO SIPAC E COLOCAR MÚLTIPLO DE 500 G.</t>
  </si>
  <si>
    <t>358108</t>
  </si>
  <si>
    <t>FOSFATO DE CÁLCIO MONOBASICO ANIDRO P.A.</t>
  </si>
  <si>
    <t>CATMAT -358108- Fosfato de cálcio, aspecto físico: pó branco, cristalino, inodoro, fórmula química: Ca(H2PO4)2 - (monobásico anidro), peso molecular: 234,05 g/mol, pureza mínima de 95%, característica adicional reagente P.A., número de referência química: CAS 231-837-1. Entregue em frasco de 500 g. Atenção: observar a unidade de medida do SIPAC e colocar múltiplo de 500 g.</t>
  </si>
  <si>
    <t>https://www.labimport.com.br/reagentes/fosfato-de-calcio/fosfato-de-calcio-monobasico-anidro-pa-500g-11967</t>
  </si>
  <si>
    <t>https://www.lojaprolab.com.br/fosfato-de-calcio-monobasico-anidro-pa-79069</t>
  </si>
  <si>
    <t>https://www.lojanetlab.com.br/reagentes/pa/fosfato-de-calcio-monobasico-anidro-pa</t>
  </si>
  <si>
    <t>CATMAT - 352751 - FOSFATO DE POTÁSSIO DIBÁSICO, ASPECTO FÍSICO: PÓ BRANCO CRISTALINO, INODORO, FÓRMULA MOLECULAR: K2HPO4 (DIBÁSICO ANIDRO), MASS MOLAR: 174,18 G/MOL, TEOR DE PUREZA: PUREZA MÍNIMA DE 98%, CARACTERÍSTICA ADICIONAL: REAGENTE P.A., NÚMERO DE REFERÊNCIA QUÍMICA: CAS 7758-11-4. ENTREGUE EM FRASCOS DE 500 G.</t>
  </si>
  <si>
    <t>352751</t>
  </si>
  <si>
    <t>FOSFATO DE POTÁSSIO BIBÁSICO ANIDRO P.A.</t>
  </si>
  <si>
    <t>CATMAT -445227- Fosfato de potássio, aspecto físico: pó branco cristalino, inodoro, fórmula química: k2hpo4 (dibásico anidro), peso molecular: 174,18 g,mol, teor de pureza: pureza metálica mínima de 98%, característica adicional: reagente p.a., número de referência química: cas 7758-11-4. Entregue em frasco com 500 g. Atenção: observar a unidade de medida do SIPAC e colocar múltiplo de 500 g.</t>
  </si>
  <si>
    <t>https://www.lojasynth.com/reagentes-analiticosmaterias-primas/reagentes-analiticosmaterias-primas/fosfato-de-potassio-bibasico-anidro-p-a?parceiro=2827&amp;gad_source=4&amp;gclid=CjwKCAjwzN-vBhAkEiwAYiO7oEuQ9T1rOVdz-Y6ax58w07kGYWWDeqYamKmcim2ngp_KfNpK5jZC5hoCtBwQAvD_BwE&amp;variant_id=301061</t>
  </si>
  <si>
    <t>https://www.lojalinklab.com.br/fosfato-de-potassio-bb-anidro-pa-1kg-sem-controle?parceiro=1142&amp;utm_medium=cpc&amp;utm_source=google&amp;utm_campaign=20614034119&amp;utm_content=__c_&amp;utm_term=&amp;utm_local=&amp;utm_device=c&amp;gad_source=4&amp;gclid=CjwKCAjwzN-vBhAkEiwAYiO7oBkZWONksFLi0qeme5Nt1MTTtKwxQxr5RR7WLQn3ywUkn-uE1jG8aRoCesIQAvD_BwE</t>
  </si>
  <si>
    <t>https://www.google.com/shopping/product/1?client=firefox-b-lm&amp;q=FOSFATO+DE+POT%C3%81SSIO+BIB%C3%81SICO+ANIDRO+P.A.&amp;prds=epd:10821406581902276862,eto:10821406581902276862_0,pid:10821406581902276862&amp;sa=X&amp;ved=0ahUKEwiOs_2Pxf6EAxU4PbkGHaHDCWUQ9pwGCAU</t>
  </si>
  <si>
    <t xml:space="preserve">FOSFATO DE POTÁSSIO MONOBÁSICO, ASPECTO FÍSICO: PÓ BRANCO CRISTALINO, INODORO, FÓRMULA QUÍMICA: KH2PO4 (MONOBÁSICO ANIDRO), MASSA MOLAR: 136,09 G/MOL, TEOR DE PUREZA: PUREZA MÍNIMA DE 99%, CARACTERÍSTICA ADICIONAL: REAGENTE P.A., NÚMERO DE REFERÊNCIA QUÍMICA: CAS 7778-77-0. ENTREGUE EM FRASCOS DE 500 G.
</t>
  </si>
  <si>
    <t>352749</t>
  </si>
  <si>
    <t>FOSFATO DE POTÁSSIO MONOBÁSICO ANIDRO P.A.</t>
  </si>
  <si>
    <t>CATMAT -352749- Fosfato de potássio, aspecto físico pó branco cristalino, inodoro, fórmula química KH2PO4 (monobásico anidro), peso molecular 136,09 g/mol, pureza mínima de 99%, característica adicional reagente P.A., número de referência química: CAS 7778-77-0. Entregue em frasco com 500 g. Atenção: observar a unidade de medida do SIPAC e colocar múltiplo de 500 g.</t>
  </si>
  <si>
    <t>https://www.bclab.com.br/quimicos-reagentes/fosfato-de-potassio-monobasico-anidro-pa-500g-exodo?gad_source=4&amp;gclid=CjwKCAjwzN-vBhAkEiwAYiO7oPzSMh6l4JV7LlLWLonF54r5cyOUe6Dc6xAcySsV4TqRHWq8CVRAERoCwWQQAvD_BwE</t>
  </si>
  <si>
    <t>https://www.lojasynth.com/reagentes-analiticosmaterias-primas/reagentes-analiticosmaterias-primas/fosfato-de-sodio-monobasico-anidro-p-a?parceiro=2827&amp;variant_id=1018&amp;gad_source=4&amp;gclid=CjwKCAjwzN-vBhAkEiwAYiO7oAMQVE5xhlSICNLXV1Uz4ReDyfFrFbl3w5zka7vb9WiYf4oGgBMZbRoCAloQAvD_BwE</t>
  </si>
  <si>
    <t>https://www.labimport.com.br/reagentes/fosfato-de-potassio/fosfato-de-potassio-monobasico-anidro-pa-500g</t>
  </si>
  <si>
    <t xml:space="preserve">CATMAT - 354240 - FOSFATO DE SÓDIO DIBÁSICO HEPTAHIDRATADO, ASPECTO FÍSICO: PÓ FINO DE CRISTAIS BRANCOS, INODORO, HIGROSCÓPICO, FÓRMULA QUÍMICA: NA2HPO4.7H2O (DIBÁSICO HEPTAHIDRATADO), MASSA MOLAR: 268,07 G/MOL, GRAU DE PUREZA: PUREZA MÍNIMA DE 99%, CARACTERÍSTICA ADICIONAL: REAGENTE P.A. ACS, NÚMERO DE REFERÊNCIA QUÍMICA:CAS 7782-85-6. VENDIDO EM "G".
</t>
  </si>
  <si>
    <t>354240</t>
  </si>
  <si>
    <t>FOSFATO DE SÓDIO BIBÁSICO (7H2O) P.A. ACS</t>
  </si>
  <si>
    <t>CATMAT -354240- FOSFATO DE SÓDIO DIBÁSICO HEPTAHIDRATADO, ASPECTO FÍSICO: PÓ FINO DE CRISTAIS BRANCOS, INODORO, HIGROSCÓPICO, FÓRMULA QUÍMICA: NA2HPO4.7H2O (DIBÁSICO HEPTAHIDRATADO), MASSA MOLAR: 268,07 G/MOL, GRAU DE PUREZA: PUREZA MÍNIMA DE 99%, CARACTERÍSTICA ADICIONAL: REAGENTE P.A. ACS, NÚMERO DE REFERÊNCIA QUÍMICA:CAS 7782-85-6. Entregue em frasco com 500 g. Atenção: observar a unidade de medida do SIPAC e colocar múltiplo de 500 g.</t>
  </si>
  <si>
    <t>https://www.lojaacscientifica.com.br/fosfato-de-sodio-dibasico-7h2o-pa-acs-heptahidratado?variation=14179606</t>
  </si>
  <si>
    <t>https://www.lojasynth.com/reagentes-analiticosmaterias-primas/reagentes-analiticosmaterias-primas/fosfato-de-sodio-bibasico-7h2o-p-a-a-c-s?parceiro=2827&amp;variant_id=1012&amp;srsltid=AfmBOoo4uafjROP2kU9FRgtyCaV-fYkcNirJ_1D8cZWOLUEpdVzOANpLrCI</t>
  </si>
  <si>
    <t>https://www.lojaprolab.com.br/fosfato-de-sodio-bibasico-7h2o-pa-acs-79077</t>
  </si>
  <si>
    <t xml:space="preserve">FOSFATO DE SÓDIO DIBÁSICO ANIDRO, ASPECTO FÍSICO: PÓ FINO DE CRISTAIS BRANCOS, INODORO, HIGROSCÓPICO, FÓRMULA QUÍMICA: NA2HPO4 (DIBÁSICO ANIDRO), MASSA MOLAR: 141,96 G/MOL, GRAU DE PUREZA: PUREZA MÍNIMA DE 99%, CARACTERÍSTICA ADICIONAL: REAGENTE P.A., NÚMERO DE REFERÊNCIA QUÍMICA: CAS 7558-79-4.  ENTREGUE EM FRASCOS DE 500 G.
</t>
  </si>
  <si>
    <t>347723</t>
  </si>
  <si>
    <t>FOSFATO DE SÓDIO DIBÁSICO ANIDRO P.A.</t>
  </si>
  <si>
    <t>CATMAT -347723- Fosfato de sódio, aspecto físico: pó fino de cristais brancos, inodoro, higroscópico, fórmula química: Na2HPO4 (dibásico anidro), massa molecular: 141,96 g/mol, pureza mínima de 99%, característica adicional: reagente P.A., número de referência química: CAS 7558-79-4. Entregue em frasco com 500 g. Atenção: observar a unidade de medida do SIPAC e colocar múltiplo de 500 g.</t>
  </si>
  <si>
    <t>https://www.labimport.com.br/reagentes/fosfato-de-sodio/fosfato-de-sodio-dibasico-anidro-pa-500g-15477</t>
  </si>
  <si>
    <t>https://www.lojaacscientifica.com.br/fosfato-de-sodio-dibasico-anidro-pa-acs?variation=14179609</t>
  </si>
  <si>
    <t>https://www.orionprodutoscientificos.com.br/fosfato-de-sodio-bibasico-anidro-p-a-500-g-fabricante-neon?utm_source=Site&amp;utm_medium=GoogleMerchant&amp;utm_campaign=GoogleMerchant</t>
  </si>
  <si>
    <t>FOSFATO DE SÓDIO MONOBÁSICO ANIDRO P.A. ESPECIFICAÇÃO: FOSFATO DE SÓDIO, ASPECTO FÍSICO PÓ FINO DE CRISTAIS BRANCOS,INODORO, HIGROSCÓPICO, FÓRMULA QUÍMICA NAH2PO4 (MONOBÁSICO ANIDRO), MASSA MOLECULAR119,98 G/MOL, PUREZA MÍNIMA DE 98%, CARACTERÍSTICA ADICIONAL REAGENTE P.A., NÚMERO DEREFERÊNCIA QUÍMICA CAS 7558-80-7. ENTREGUE EM FRASCO COM 500 G. ATENÇÃO: OBSERVAR AUNIDADE DE MEDIDA DO SIPAC E COLOCAR MÚLTIPLO DE 500 G.</t>
  </si>
  <si>
    <t>347727</t>
  </si>
  <si>
    <t>FOSFATO DE SÓDIO MONOBÁSICO ANIDRO P.A.</t>
  </si>
  <si>
    <t>CATMAT -347727- Fosfato de sódio, aspecto físico pó fino de cristais brancos, inodoro, higroscópico, fórmula química NaH2PO4 (monobásico anidro), massa molecular 119,98 g/mol, pureza mínima de 98%, característica adicional reagente P.A., número de referência química CAS 7558-80-7. Entregue em frasco com 500 g. Atenção: observar a unidade de medida do SIPAC e colocar múltiplo de 500 g.</t>
  </si>
  <si>
    <t>https://www.labimport.com.br/reagentes/fosfato-de-sodio/fosfato-de-sodio-monobasico-anidro-pa-500g-11983</t>
  </si>
  <si>
    <t>https://www.orionprodutoscientificos.com.br/fosfato-de-sodio-monobasico-anidro-98-p-a-500-g-fabricante-neon?utm_source=Site&amp;utm_medium=GoogleMerchant&amp;utm_campaign=GoogleMerchant</t>
  </si>
  <si>
    <t>https://www.didaticasp.com.br/produto/fosfato-de-sodio-monobasico-anidro-98-pa-250g-cas-7558-80-7.html</t>
  </si>
  <si>
    <t>CATMAT - 352755 - FOSFATO DE SÓDIO, ASPECTO FÍSICO: PÓ CRISTALINO BRANCO, FÓRMULA QUÍMICA: NA3PO4.12H2O (TRISSÓDICO DODECA-HIDRATADO), MASSA MOLECULAR: 380,12 G/MOL, PUREZA MÍNIMA DE 98%, CARACTERÍSTICA ADICIONAL: REAGENTE P.A., NÚMERO DE REFERÊNCIA QUÍMICA: CAS 10101-89-0.</t>
  </si>
  <si>
    <t>352755</t>
  </si>
  <si>
    <t>FOSFATO DE SÓDIO TRIBÁSICO (12H2O) P.A</t>
  </si>
  <si>
    <t>CATMAT - 352755 - Fosfato de sódio, aspecto físico: pó cristalino branco, fórmula química: Na3PO4.12H2O (trissódico dodeca-hidratado), massa molecular: 380,12 g/mol, pureza mínima de 98%, característica adicional: reagente P.A., número de referência química: CAS 10101-89-0. Entregue em frasco com 500 g. Atenção: observar a unidade de medida do SIPAC e colocar múltiplo de 500 g.</t>
  </si>
  <si>
    <t>https://www.lojaprolab.com.br/fosfato-de-sodio-tribasico-12h2o-pa-acs-79082</t>
  </si>
  <si>
    <t>https://www.lojanetlab.com.br/reagentes/pa/fosfato-de-sodio-tribasico-12h2o-pa-acs</t>
  </si>
  <si>
    <t>https://www.labimport.com.br/reagentes/fosfato-de-sodio/fosfato-de-sodio-bibasico-12h2o-pa-1000g</t>
  </si>
  <si>
    <t>CATMAT -347012- CORANTE, TIPO: FUCSINA ÁCIDA, ASPECTO FÍSICO: PÓ, CARACTERÍSTICAS ADICIONAIS: CI 42685. FRASCO COM 25 G</t>
  </si>
  <si>
    <t>347012</t>
  </si>
  <si>
    <t>FUCSINA ÁCIDA CI 42685 FRASCO 25G</t>
  </si>
  <si>
    <t>CATMAT -347012- Corante, tipo: fucsina ácida, aspecto físico: pó, características adicionais: CI 42685, frasco 25 g</t>
  </si>
  <si>
    <t>https://www.orionprodutoscientificos.com.br/fucsina-acida-ci-42685-25g-exodo-cientifica?utm_source=Site&amp;utm_medium=GoogleMerchant&amp;utm_campaign=GoogleMerchant</t>
  </si>
  <si>
    <t>https://www.lojasynth.com/reagentes-analiticosmaterias-primas/reagentes-analiticosmaterias-primas/fucsina-acida-c-i-42685-p-a?parceiro=2827&amp;variant_id=301349&amp;srsltid=AfmBOopCUmrZCMGNZQBVLCYFs3y-t70zXNaCkloQGKX7j4emyzAKFK-d_7g</t>
  </si>
  <si>
    <t>https://www.labimport.com.br/reagentes/fucsina/fucsina-acida-ci-42685-25g</t>
  </si>
  <si>
    <t>CATMAT -331021- CORANTE, TIPO: FUCSINA BÁSICA, ASPECTO FÍSICO: PÓ, CARACTERÍSTICAS ADICIONAIS: CI 42510. FRASCO COM 25 G</t>
  </si>
  <si>
    <t>331021</t>
  </si>
  <si>
    <t>FUCSINA BÁSICA CI 42510 FRASCO 25 G</t>
  </si>
  <si>
    <t>CATMAT -331021- Corante, tipo: fucsina básica, aspecto físico: pó, características adicionais: ci 42510. Frasco com 25 g</t>
  </si>
  <si>
    <t>GLICERINA P.A. ACS - GLICEROL, ASPECTO FÍSICO LÍQUIDO VISCOSO, INCOLOR, HIGROSCÓPICO, FÓRMULA QUÍMICA C3H8O3, PESO MOLECULAR 92,09, TEOR DE PUREZA PUREZA MÍNIMA DE 99,5%, CARACTERÍSTICA ADICIONAL REAGENTE P.A. ACS, NÚMERO DE REFERÊNCIA QUÍMICA CAS 56-81-5. ENTREGUE EM FRASCO DE VIDRO AMBAR.</t>
  </si>
  <si>
    <t>353077</t>
  </si>
  <si>
    <t xml:space="preserve">GLICERINA P.A. ACS </t>
  </si>
  <si>
    <t>CATMAT -353077- Glicerol, aspecto físico líquido viscoso, incolor, higroscópico, fórmula química C3H8O3, peso molecular 92,09, teor de pureza pureza mínima de 99,5%, característica adicional reagente P.A. ACS, número de referência química CAS 56-81-5. Entregue em frasco de vidro ambar.</t>
  </si>
  <si>
    <t>https://www.bclab.com.br/quimicos-reagentes/glicerina-pa-acs-1l-acs-cientifica?gad_source=4&amp;gclid=CjwKCAjwkuqvBhAQEiwA65XxQHgRZ-uU-rAbamqAsItP1D6SnJm_zZ3GqsuoqX_5s2zvR-LSwEjLOBoC1PwQAvD_BwE</t>
  </si>
  <si>
    <t>https://www.labimport.com.br/reagentes/glicerina/glicerina-pa-acs-1-l-11993</t>
  </si>
  <si>
    <t>https://www.lojalinklab.com.br/glicerina-pa-acs-1l-controle-pc?parceiro=1142</t>
  </si>
  <si>
    <t xml:space="preserve">[GLICOSE ANIDRA P.A. (DEXTROSE)] GLICOSE, ASPECTO FÍSICO: PÓ BRANCO FINO, FÓRMULA QUÍMICA: C6H12O6 (D-GLICOSE), PESO MOLECULAR: 180,16 G/MOL, CARACTERÍSTICA ADICIONAL: ANIDRA, REAGENTE P.A., NÚMERO DE REFERÊNCIA QUÍMICA: CAS 50-99-7. ENTREGUE EM FRASCO COM 500 G. ATENÇÃO: OBSERVAR A UNIDADE DE MEDIDA DO SIPAC E COLOCAR MÚLTIPLO DE 500 G.
</t>
  </si>
  <si>
    <t>352808</t>
  </si>
  <si>
    <t>GLICOSE ANIDRA (DEXTROSE) P.A. ACS</t>
  </si>
  <si>
    <t>CATMAT -349837 - Dextrose, aspecto físico: cristal incolor ou pó branco cristalino, inodoro, fórmula química: C6H12O6, peso molecular: 198,18 g/mol, característica adicional: reagente P.A. ACS, número de referência química: CAS 50-99-7, entregue em frasco de 500 g. Atenção: observar a unidade de medida do SIPAC e colocar múltiplo de 500 g.</t>
  </si>
  <si>
    <t>https://www.labimport.com.br/reagentes/glicose/glicose-anidra-dextrose-pa-acs-500g-12003</t>
  </si>
  <si>
    <t>https://www.labimport.com.br/reagentes/glicose/glicose-d-anidra-pa-acs-500g</t>
  </si>
  <si>
    <t>https://www.lojalinklab.com.br/dextrose-glicose-anidra-pa-500g-sem-controle?parceiro=1142</t>
  </si>
  <si>
    <t>HEMATOXILINA CI 75290. ESPECIFICAÇÃO: CORANTE, TIPO HEMATOXILINA, ASPECTO FÍSICO PÓ,CARACTERÍSTICAS ADICIONAIS CI 75290, FRASCO COM 25 G.</t>
  </si>
  <si>
    <t>331825</t>
  </si>
  <si>
    <t>HEMATOXILINA CI. 75290 FRACO 25 G</t>
  </si>
  <si>
    <t>CATMAT -331825- Corante, tipo hematoxilina, aspecto físico pó, características adicionais ci 75290, frasco com 25 g.</t>
  </si>
  <si>
    <t>https://www.labimport.com.br/reagentes/hematoxilina/hematoxilina-pa-25g</t>
  </si>
  <si>
    <t>https://www.lojaacscientifica.com.br/hematoxilina-ci75290</t>
  </si>
  <si>
    <t>https://www.orionprodutoscientificos.com.br/hematoxilina-ci-75290-25g-exodo-cientifica</t>
  </si>
  <si>
    <t>HEMATOXILINA DE HARRIS, 1000ML, DESCRIÇÃO TÉCNICA: CORANTE HEMATOXILINA DE HARRIS, FRASCO EM PEAD CONTENDO 1000ML.  PRODUTO PARA USO EM DIAGNÓSTICO IN VITRO.</t>
  </si>
  <si>
    <t>354201</t>
  </si>
  <si>
    <t>HEMATOXILINA DE HARRIS FRASCO 1000 ML</t>
  </si>
  <si>
    <t>CATMAT -368632- Corante, tipo: hematoxilina segundo Harris, aspecto físico: líquido, frasco 1000 mL.</t>
  </si>
  <si>
    <t>https://www.dsyslab.com.br/hematoxilina-de-harris-frasco-com-1000-ml-mod-pa203-newprov?parceiro=7063&amp;srsltid=AfmBOoq2ZRRPfYVRECgDmqS74BsExUYFn96kUvnL6I21Luk1UM4-Si5y2nI</t>
  </si>
  <si>
    <t>https://www.endocommerce.com.br/p/corante-de-hematoxilina-de-harris-1000-ml?parceiro=8702&amp;srsltid=AfmBOoplDZzg3_iPEndp_N2AvfXL6WNXo86eAYVszlxs_u3jJmUz4FcUrIM</t>
  </si>
  <si>
    <t>https://gaiadiagnostica.com.br/produtos/hematoxilina-de-harris-frasco-c-1000ml-newprov/?variant=786400127&amp;pf=mc</t>
  </si>
  <si>
    <t>HEXAMETAFOSFATO DE SÓDIO PURO - FRASCO COM 500G</t>
  </si>
  <si>
    <t>355654</t>
  </si>
  <si>
    <t>HEXAMETAFOSFATO DE SÓDIO P.A.</t>
  </si>
  <si>
    <t>CATMAT - 355654 - HEXAMETAFOSFATO SÓDIO (SHMP), COMPOSIÇÃO QUÍMICA (NAPO3)N ANIDRO, ASPECTO FÍSICO PÓ OU CRISTAL BESBRANQUIÇADO, INODORO,HIGROSCÓPICO, PESO MOLECULAR (N)101,96, Teor (P2O5) MÍNIMO 68%, CARACTERÍSTICA ADICIONAL REAGENTE P.A., NÚMERO DE REFERÊNCIA QUÍMICA CAS 10124-56-8, entregue em frasco de 500 g. Atenção: observar a unidade de medida do SIPAC e colocar múltiplo de 500 g.</t>
  </si>
  <si>
    <t>https://www.lojalinklab.com.br/hexametafosfato-de-sodio-pa-500g-sem-controle?parceiro=1142&amp;utm_medium=cpc&amp;utm_source=google&amp;utm_campaign=20614034119&amp;utm_content=__c_&amp;utm_term=&amp;utm_local=20097&amp;utm_device=c&amp;gad_source=1&amp;gclid=CjwKCAjwh4-wBhB3EiwAeJsppMPl3eUvasqzW3ywsGWv3aYzUY2F6ah-H95bPTWLbpanvIEief6AOBoC7HsQAvD_BwE</t>
  </si>
  <si>
    <t>https://www.orionprodutoscientificos.com.br/hexametafosfato-de-sodio-pa-500g-exodo-cientifica?utm_source=Site&amp;utm_medium=GoogleMerchant&amp;utm_campaign=GoogleMerchant</t>
  </si>
  <si>
    <t>https://www.laderquimica.com.br/hexametafosfato-de-sodio-pa-500g-neon?utm_source=Site&amp;utm_medium=GoogleMerchant&amp;utm_campaign=GoogleMerchant&amp;srsltid=AfmBOooT37O8pkdUcVNtaqff1OXnhj7nRlZL9HkQdBG6SZeBNSLys4DD5Ow</t>
  </si>
  <si>
    <t>(CATMAT: 354575) - HEXANO (N-HEXANO), ASPECTO FÍSICO LÍQUIDO LÍMPIDO, INCOLOR, ODOR CARACTERÍSTICO, FÓRMULA QUÍMICA C6H14, PESO MOLECULAR 86,18, TEOR DE PUREZA PUREZA MÍNIMA DE 99,9%, CARACTERÍSTICA ADICIONAL REAGENTE DE GRAU HPLC. FRASCO DE 1L.</t>
  </si>
  <si>
    <t>354575</t>
  </si>
  <si>
    <t>HEXANO 95% HPLC</t>
  </si>
  <si>
    <t>CATMAT -416199- Hexano, aspecto físico: líquido límpido incolor, peso molecular: 86,18 g/mol, composição química: CH3(CH2)4CH3, pureza mínima de 95%, característica adicional: reagente para HPLC, número de referência química: CAS 110-54-3. Entregue em frasco de vidro ambar.</t>
  </si>
  <si>
    <t>https://www.orionprodutoscientificos.com.br/hexano-n-95-uv-hplc-espectroscopico-1l-exodo-cientifica?utm_source=Site&amp;utm_medium=GoogleMerchant&amp;utm_campaign=GoogleMerchant</t>
  </si>
  <si>
    <t>https://www.lojaacscientifica.com.br/hexano-95-uvhplc-espectroscopico-mistura-de-isomeros-embalagem-1l</t>
  </si>
  <si>
    <t xml:space="preserve">CATMAT - 354574 - HEXANO, ASPECTO FÍSICO:LÍQUIDO TRANSPARENTE, PESO MOLECULAR:86,18 G/MOL, COMPOSIÇÃO QUÍMICA:C6H14 (N-HEXANO), TEOR DE PUREZA:PUREZA MÍNIMA DE 99%, CARACTERÍSTICA ADICIONAL:REAGENTE P.A., NÚMERO DE REFERÊNCIA QUÍMICA:CAS 110-54-3. VENDIDO EM "L".
</t>
  </si>
  <si>
    <t>354574</t>
  </si>
  <si>
    <t>HEXANO-N P.A. ACS</t>
  </si>
  <si>
    <t>CATMAT - 354580 - Hexano, aspecto físico: líquido transparente, peso molecular: 86,18 g/mol, composição química: C6H14 (n-hexano), pureza mínima de 95%, característica adicional: reagente P.A. ACS, número de referência química: CAS 110-54-3. Entregue em frasco de vidro ambar.</t>
  </si>
  <si>
    <t>https://www.lojalinklab.com.br/hexano-n-99-pa-acs-1l-controle-pc?parceiro=1142</t>
  </si>
  <si>
    <t>https://www.labimport.com.br/reagentes/hexano/hexano-n-95-pa-acs-1-l-12021</t>
  </si>
  <si>
    <t>https://www.labimport.com.br/reagentes/hexano/hexano-n-99-pa-acs-1-l-12023</t>
  </si>
  <si>
    <t>CATMAT -353673- HIDROQUINONA (BENZENO-1,4-DIOL), ASPECTO FÍSICO: CRISTAIS OU PÓ BRANCO, FÓRMULA QUÍMICA: C6H4(OH)2, PESO MOLECULAR: 110,11 G/MOL, PUREZA MÍNIMA DE 99%, REAGENTE P.A., NÚMERO DE REFERÊNCIA QUÍMICA: CAS 123-31-9, ENTREGUE EM FRASCO DE 500 G. ATENÇÃO: OBSERVAR A UNIDADE DE MEDIDA DO SIPAC E COLOCAR MÚLTIPLO DE 500 G.</t>
  </si>
  <si>
    <t>353673</t>
  </si>
  <si>
    <t>HIDROQUINONA P.A.</t>
  </si>
  <si>
    <t>CATMAT -353673- Hidroquinona (benzeno-1,4-diol), aspecto físico: cristais ou pó branco, fórmula química: C6H4(OH)2, peso molecular: 110,11 g/mol, pureza mínima de 99%, reagente P.A., número de referência química: CAS 123-31-9, entregue em frasco de 500 g. Atenção: observar a unidade de medida do SIPAC e colocar múltiplo de 500 g.</t>
  </si>
  <si>
    <t>https://www.lojaacscientifica.com.br/hidroquinona-pa?variation=14179742</t>
  </si>
  <si>
    <t>https://www.eplab.com.br/hidroquinona-pa-500g-acs?gad_source=4&amp;gclid=CjwKCAjwh4-wBhB3EiwAeJsppFEkqKQiBAx-3WiwFYVeCKSni_DdmXaPcT5BscnOYweTU_PwgVTCQRoCsJkQAvD_BwE</t>
  </si>
  <si>
    <t>https://www.ciruvix.com.br/hidroquinona-pa-500gr-dinamica</t>
  </si>
  <si>
    <t>CATMAT -347756- HIDRÓXIDO DE AMÔNIO, ASPECTO FÍSICO: LÍQUIDO LÍMPIDO, INCOLOR, VOLÁTIL, DE ODOR ACRE, PESO MOLECULAR: 35,05 G/MOL, FÓRMULA QUÍMICA: NH4OH, TEOR DE NH3 ENTRE 28 E 30%, CARACTERÍSTICA ADICIONAL: EM SOLUÇÃO AQUOSA, REAGENTE P.A., NÚMERO DE REFERÊNCIA QUÍMICA: CAS 1336-21-6.</t>
  </si>
  <si>
    <t>347756</t>
  </si>
  <si>
    <t xml:space="preserve">HIDRÓXIDO DE AMÔNIO P.A. </t>
  </si>
  <si>
    <t>CATMAT -347756- Hidróxido de amônio, aspecto físico: líquido límpido, incolor, volátil, de odor acre, peso molecular: 35,05 g/mol, fórmula química: NH4OH, teor de NH3 entre 28 e 30%, característica adicional: em solução aquosa, reagente P.A., número de referência química: CAS 1336-21-6. Entregue em frasco de vidro ambar.</t>
  </si>
  <si>
    <t>https://www.lojalinklab.com.br/hidroxido-de-amonio-28-30-pa-acs-1l-controle-pc-e-pf?parceiro=1142</t>
  </si>
  <si>
    <t>https://www.orionprodutoscientificos.com.br/hidroxido-de-amonio-2n-fatorada-1l-exodo-cientifica</t>
  </si>
  <si>
    <t>https://www.forlabexpress.com.br/hidroxido-de-amonio-24-26-pa-acs-1l-acs-cientifica/?srsltid=AfmBOooTLu5OpcltDdVRLev-e50x_bfED-aWx4iAmJKzZ0kepPEN1ELanko</t>
  </si>
  <si>
    <t>HIDRÓXIDO DE CÁLCIO, ASPECTO FÍSICO PÓ OU CRISTAL FINO BRANCO, FÓRMULA QUÍMICA CA(OH)2, PESO MOLECULAR 74,09, GRAU DE PUREZA PUREZA MÍNIMA DE 95%, CARACTERÍSTICA ADICIONAL REAGENTE P.A., NÚMERO DE REFERÊNCIA QUÍMICA CAS 1305-62-0.</t>
  </si>
  <si>
    <t>366501</t>
  </si>
  <si>
    <t>HIDRÓXIDO DE CÁLCIO P.A.</t>
  </si>
  <si>
    <t>CATMAT -366501- Hidróxido de cálcio, aspecto físico: pó ou cristal fino branco, fórmula química: Ca(OH)2, peso molecular: 74,09 g/mol, pureza mínima de 95%, característica adicional: reagente P.A., número de referência química: CAS 1305-62-0. Entregue em frasco com 500 g. Atenção: observar a unidade de medida do SIPAC e colocar múltiplo de 500 g.</t>
  </si>
  <si>
    <t>https://www.labimport.com.br/reagentes/hidroxido-de-calcio/hidroxido-de-calcio-pa-500g-12029</t>
  </si>
  <si>
    <t>https://www.orionprodutoscientificos.com.br/hidroxido-de-calcio-p-a-500-g-fabricante-neon?utm_source=Site&amp;utm_medium=GoogleMerchant&amp;utm_campaign=GoogleMerchant</t>
  </si>
  <si>
    <t>https://www.labimport.com.br/reagentes/hidroxido-de-calcio/hidroxido-de-calcio-pa-acs-500g</t>
  </si>
  <si>
    <t>CATMAT - 347797 - HIDRÓXIDO DE POTÁSSIO, ASPECTO FÍSICO: ESCAMA OU LENTILHA BRANCA, INODORA, HIGROSCÓPICA, PESO MOLECULAR: 56,11 G/MOL, FÓRMULA QUÍMICA: KOH, TEOR MÍNIMO DE 85%, CARACTERÍSTICA ADICIONAL: REAGENTE P.A., NÚMERO DE REFERÊNCIA QUÍMICA: CAS 1310-58-3</t>
  </si>
  <si>
    <t>347797</t>
  </si>
  <si>
    <t>HIDRÓXIDO DE POTÁSSIO P.A.</t>
  </si>
  <si>
    <t>CATMAT - 347797 - Hidróxido de potássio, aspecto físico: escama ou lentilha branca, inodora, higroscópica, peso molecular: 56,11 g/mol, fórmula química: KOH, teor mínimo de 85%, característica adicional: reagente P.A., número de referência química: CAS 1310-58-3</t>
  </si>
  <si>
    <t>QUILOGRAMAS</t>
  </si>
  <si>
    <t>https://www.labimport.com.br/reagentes/hidroxido-de-potassio/hidroxido-de-potassio-escamas-pa-1kg</t>
  </si>
  <si>
    <t>https://www.lojalinklab.com.br/hidroxido-de-potassio-escamas-pa-1kg-controle-pc?parceiro=1142</t>
  </si>
  <si>
    <t>https://www.mercadoquimicos.com/reagentes/hidroxido-de-potassio-pa-1kg</t>
  </si>
  <si>
    <t>HIDROXIDO DE SODIO PA 97% 1KG MICROPEROLAS</t>
  </si>
  <si>
    <t>445526</t>
  </si>
  <si>
    <t>HIDROXIDO DE SODIO P.A. MICROPEROLAS</t>
  </si>
  <si>
    <t>CATMAT - 355207 - Hidróxido de sódio, aspecto físico em micropérolas esbranquiçadas, peso molecular 40 g/mol, fórmula química NaOH, pureza mínima de 97%, característica adicional reagente P.A., número de referência química CAS 1310-73-2, entregue em frasco com 1000 g. Atenção: observar a unidade de medida do SIPAC e colocar múltiplo de 1000 g.</t>
  </si>
  <si>
    <t>https://www.laderquimica.com.br/hidroxido-de-sodio-micro-perolas-pa-1kg-neon?utm_source=Site&amp;utm_medium=GoogleMerchant&amp;utm_campaign=GoogleMerchant&amp;srsltid=AfmBOopBOGZBPCM6kyJ2dp0s28O08cwUET1wt8w2FBbRY3dVVllpFqXLk_4</t>
  </si>
  <si>
    <t>https://quimisulsc.com.br/produto/hidroxido-de-sodio-pa-microperolas-1-kg/?srsltid=AfmBOopGGxiPljFIVyO7G8JmxIdeuxvmPEqsOZN1vzu07as7XxsiLNxoHNM</t>
  </si>
  <si>
    <t>https://www.labimport.com.br/reagentes/hidroxido-de-sodio/hidroxido-de-sodio-microperolas-pa-acs-1000g</t>
  </si>
  <si>
    <t>CATMAT -378971- HIPOCLORITO DE SÓDIO, ASPECTP FÍSICO LÍQUIDO AMARELO ESVERDEADO, CONCENTRAÇÃO TEOR MÍNIMO DE 12% DE CLORO ATIVO. FRASCO DE 1L.</t>
  </si>
  <si>
    <t>378971</t>
  </si>
  <si>
    <t>HIPOCLORITO DE SÓDIO 12%</t>
  </si>
  <si>
    <t>https://produto.mercadolivre.com.br/MLB-1792791069-hipoclorito-de-sodio-12-solucao-puro-com-5-litros-_JM?matt_tool=18956390&amp;utm_source=google_shopping&amp;utm_medium=organic</t>
  </si>
  <si>
    <t>https://loja.casadosacodelixo.com.br/hipoclorito-de-sodio-12-clarilimp-2024-01-30-17-06-34?utm_source=Site&amp;utm_medium=GoogleMerchant&amp;utm_campaign=GoogleMerchant&amp;sku=hipoclarilimp-2-l</t>
  </si>
  <si>
    <t>https://www.essenza.com.br/produto/hipoclorito-de-sodio-12-troppel-5l?utm_source=Site&amp;utm_medium=GoogleMerchant&amp;utm_campaign=GoogleMerchant</t>
  </si>
  <si>
    <t xml:space="preserve">[IODATO DE POTÁSSIO P.A.]  IODATO DE POTÁSSIO, ASPECTO FÍSICO: PÓ CRISTALINO BRANCO E INODORO, PESO MOLECULAR: 214 G/MOL, FÓRMULA QUÍMICA: KIO3 ANIDRO, PUREZA MÍNIMA DE 99%, CARACTERÍSTICA ADICIONAL: REAGENTE P.A., NÚMERO DE REFERÊNCIA QUÍMICA: CAS 7758-05-6, ENTREGUE EM FRASCO COM 250 G. ATENÇÃO: OBSERVAR A UNIDADE DE MEDIDA DO SIPAC E COLOCAR MÚLTIPLO DE 250 G.
</t>
  </si>
  <si>
    <t>374023</t>
  </si>
  <si>
    <t>IODATO DE POTÁSSIO P.A.</t>
  </si>
  <si>
    <t>CATMAT -374023- Iodato de potássio, aspecto físico: pó cristalino branco e inodoro, peso molecular: 214 g/mol, fórmula química: KIO3 anidro, pureza mínima de 99%, característica adicional: reagente P.A., número de referência química: CAS 7758-05-6, entregue em frasco com 250 g. Atenção: observar a unidade de medida do SIPAC e colocar múltiplo de 250 g.</t>
  </si>
  <si>
    <t>https://www.lojaacscientifica.com.br/iodato-de-potassio-pa-acs?variation=14179846</t>
  </si>
  <si>
    <t>https://www.orionprodutoscientificos.com.br/iodato-de-potassio-p-a-250-g-fabricante-neon</t>
  </si>
  <si>
    <t>https://www.orionprodutoscientificos.com.br/iodato-de-potassio-pa-1kg-exodo-cientifica</t>
  </si>
  <si>
    <t>IODETO DE POTÁSSIO P.A.. IODETO DE POTÁSSIO, ASPECTO FÍSICO: PÓ BRANCO, CRISTALINO, INODORO, FÓRMULA QUÍMICA: KI, PESO MOLECULAR: 166,01 G/MOL, PUREZA MÍNIMA DE 99%, CARACTERÍSTICA ADICIONAL: REAGENTE P.A., NÚMERO DE REFERÊNCIA QUÍMICA: CAS 7681-11-0. ENTREGUE EM FRASCO DE 100 G. ATENÇÃO: OBSERVAR A UNIDADE DE MEDIDA DO SIPAC E COLOCAR MÚLTIPLO DE 100 G.</t>
  </si>
  <si>
    <t>353071</t>
  </si>
  <si>
    <t>VIDRARIAS E PLÁSTICOS</t>
  </si>
  <si>
    <t>IODETO DE POTÁSSIO P.A.</t>
  </si>
  <si>
    <t>CATMAT - 353071 - Iodeto de potássio, aspecto físico: pó branco, cristalino, inodoro, fórmula química: KI, peso molecular: 166,01 g/mol, pureza mínima de 99%, característica adicional: reagente P.A., número de referência química: CAS 7681-11-0. entregue em frasco de 100 g. Atenção: observar a unidade de medida do SIPAC e colocar múltiplo de 100 g.</t>
  </si>
  <si>
    <t>https://labazcientificaltda.mercadoshops.com.br/MLB-1975628435-iodeto-de-potassio-pa-acs-100g-_JM?gad_source=4&amp;gclid=CjwKCAjwkuqvBhAQEiwA65XxQKcZZK-4yPd5o6C_Sb73jq_tHJHyyX2_pFvUrLwHgu2BxkPulPaVDBoC-t8QAvD_BwE</t>
  </si>
  <si>
    <t>https://www.bclab.com.br/quimicos-reagentes/iodeto-de-potassio-pa-acs-acs-cientifica?variant_id=2199&amp;gad_source=4&amp;gclid=CjwKCAjwkuqvBhAQEiwA65XxQGicIreZjjdEdrOZFjxrAxy6lH1FBSeE0odtz0q6nEU9t_HaEPRP8hoCab8QAvD_BwE</t>
  </si>
  <si>
    <t>https://www.eplab.com.br/laboratorio/consumiveis/reagente/iodeto-de-potassio-pa-acs-100g-dinamica?gad_source=4&amp;gclid=CjwKCAjwkuqvBhAQEiwA65XxQDcXBcMZCO8qZKvNtYzffG50ACuZTpL8c1ntP6m5AYJvkJe2ftscLxoC8qcQAvD_BwE</t>
  </si>
  <si>
    <t>CATMAT -353070- IODETO DE SÓDIO, COMPOSIÇÃO QUÍMICA: NAI, PESO MOLECULAR: 149,89 G/MOL, ASPECTO FÍSICO: PÓ CRISTALINO, BRANCO, INODORO, PUREZA MÍNIMA DE 99,5%, CARACTERÍSTICA ADICIONAL: REAGENTE P.A., NÚMERO DE REFERÊNCIA QUÍMICA: CAS 7681-82-5, ENTREGUE EM FRASCO COM 100 G. ATENÇÃO: OBSERVAR A UNIDADE DE MEDIDA DO SIPAC E COLOCAR MÚLTIPLO DE 100 G.</t>
  </si>
  <si>
    <t>353070</t>
  </si>
  <si>
    <t>IODETO DE SÓDIO P.A.</t>
  </si>
  <si>
    <t>CATMAT -353070- Iodeto de sódio, composição química: NaI, peso molecular: 149,89 g/mol, aspecto físico: pó cristalino, branco, inodoro, pureza mínima de 99,5%, característica adicional: reagente P.A., número de referência química: CAS 7681-82-5, entregue em frasco com 100 g. Atenção: observar a unidade de medida do SIPAC e colocar múltiplo de 100 g.</t>
  </si>
  <si>
    <t>https://www.orionprodutoscientificos.com.br/iodeto-de-sodio-pa-100g-exodo-cientifica?utm_source=Site&amp;utm_medium=GoogleMerchant&amp;utm_campaign=GoogleMerchant</t>
  </si>
  <si>
    <t>https://www.lojasynth.com/reagentes-analiticosmaterias-primas/reagentes-analiticosmaterias-primas/iodeto-de-sodio-p-a?variant_id=301097&amp;parceiro=2827&amp;srsltid=AfmBOoraKV6m_Hs3fChcW85YQub4w9HDErLv9_47bZEdzd11pRFYqzmDbZo</t>
  </si>
  <si>
    <t>https://www.orionprodutoscientificos.com.br/iodeto-de-sodio-p-a-100-g-fabricante-neon</t>
  </si>
  <si>
    <t>CATMAT -381869- IODO ASPECTO FÍSICO: CRISTAL PRETO AZULADO, DE BRILHO METÁLICO , PESO MOLECULAR: 253,81 G/MOL, COMPOSIÇÃO QUÍMICA: I2 , PUREZA MÍNIMA DE 99,5%, CARACTERÍSTICA ADICIONAL: PURIFICADO POR RESSUBLIMAÇÃO, NÚMERO DE REFERÊNCIA QUÍMICA: CAS 7553-56-2. ENTREGUE EM FRASCO DE 100 G. ATENÇÃO: OBSERVAR A UNIDADE DE MEDIDA DO SIPAC E COLOCAR MÚLTIPLO DE 100 G.</t>
  </si>
  <si>
    <t>381869</t>
  </si>
  <si>
    <t>IODO METÁLICO P.A. ACS</t>
  </si>
  <si>
    <t>CATMAT -381869- Iodo aspecto físico: cristal preto azulado, de brilho metálico , peso molecular: 253,81 g/mol, composição química: I2 , pureza mínima de 99,5%, característica adicional: purificado por ressublimação, número de referência química: CAS 7553-56-2. entregue em frasco de 100 g. Atenção: observar a unidade de medida do SIPAC e colocar múltiplo de 100 g.</t>
  </si>
  <si>
    <t>https://www.laderquimica.com.br/iodo-metalico-paacs-100g?utm_source=Site&amp;utm_medium=GoogleShopping&amp;utm_campaign=GooglePMax&amp;srsltid=AfmBOop_-xlMxT2I6pEOmd3IEPNB8cZ0qEcVEq7s9sY3ysH2L2OIzDMQ8tA</t>
  </si>
  <si>
    <t>https://www.labimport.com.br/reagentes/iodo/iodo-metalico-pa-acs-100gr</t>
  </si>
  <si>
    <t>https://www.orionprodutoscientificos.com.br/iodo-ressublimado-metalico-pa-acs-100g-exodo-cientifica</t>
  </si>
  <si>
    <t>LAURIL SULFATO DE SÓDIO (DODECIL SULFATO DE SÓDIO) Lauril Sulfato De Sódio - Lauril Sulfato De Sódio, Aspecto Físico Pó Branco Ou Levemente Amarelado, Inodoro, Fórmula Química C12h25nao4s, Massa Molecular 288,38 G/Mol, Teor De Pureza Pureza Mínima De 99,5%, Número De Referência Química Cas 151-21-3</t>
  </si>
  <si>
    <t>LAURIL SULFATO DE SÓDIO P.A.</t>
  </si>
  <si>
    <t>CATMAT 351911- LAURILSULFATO DE SÓDIO, ASPECTO FÍSICO PÓ BRANCO OU LEVEMENTE AMARELADO, INODORO, FÓRMULA QUÍMICA C12H25NAO4S, MASSA MOLECULAR 288,38 G/MOL, PUREZA MÍNIMA DE 90%, REAGENTE P.A., NÚMERO DE REFERÊNCIA QUÍMICA: CAS 151-21-3, ENTREGUE EM FRASCO COM 500 G. ATENÇÃO: OBSERVAR A UNIDADE DE MEDIDA DO SIPAC E COLOCAR MÚLTIPLO DE 500 G.</t>
  </si>
  <si>
    <t>https://www.labimport.com.br/reagentes/lauril-sulfato-de-sodio/lauril-sulfato-de-sodio-pa-dodecilsulfato-500g-12075</t>
  </si>
  <si>
    <t>https://www.orionprodutoscientificos.com.br/lauril-sulfato-de-sodio-pa-dodecilsulfato-500g-exodo-cientifica</t>
  </si>
  <si>
    <t>https://www.lojalinklab.com.br/lauril-sulfato-de-sodio-pa-dodecilsulfato-500g-sem-controle</t>
  </si>
  <si>
    <t>CATMAT -327212- CORANTE, TIPO: LUGOL FORTE, ASPECTO FÍSICO: LÍQUIDO, CARACTERÍSTICAS ADICIONAIS: SOLUÇÃO A 5% É COMPOSTA DE IODO A 5% M/V (50 G/L) E IODETO DE POTÁSSIO A 10% M/V (100 G/L). FRASCO COM 500 ML.</t>
  </si>
  <si>
    <t>327212</t>
  </si>
  <si>
    <t>LUGOL FORTE 5 % FRASCO COM 500 ML</t>
  </si>
  <si>
    <t>CATMAT -327212- Corante, tipo: lugol forte, aspecto físico: líquido, características adicionais: solução a 5% é composta de iodo a 5% m/v (50 g/L) e iodeto de potássio a 10% m/v (100 g/L). Frasco com 500 mL.</t>
  </si>
  <si>
    <t>https://www.mmcomercio.net.br/produto/lugol-forte-concentrado-5i-10ki-500ml-laborclin.html?utm_source=Site&amp;utm_medium=GoogleMerchant&amp;utm_campaign=GoogleMerchant&amp;srsltid=AfmBOorN5l8qh1yY6YOhDtKtXCf2SPYfw7l2rI1fxxN9_i-4cYgQ3Y7zk20</t>
  </si>
  <si>
    <t>https://www.essenciabrasileira.com.br/produto/dinamica-lugol-5-inorganico-frasco-500ml-produto-lacrado-fabrica/</t>
  </si>
  <si>
    <t>https://www.lojaacscientifica.com.br/iodo-iodeto-lugol-forte-solucao-5-aquosa</t>
  </si>
  <si>
    <t>CATMAT - 374793 - MAGNÉSIO, ASPECTO FÍSICO: RASPAS PRATEADAS, FÓRMULA QUÍMICA: MG, PESO MOLECULAR: 24,31 G,MOL, GRAU DE PUREZA: PUREZA MÍNIMA DE 99,5%, NÚMERO DE REFERÊNCIA QUÍMICA: CAS 7439-95-4, ENTREGUE EM FRASCO COM 25G. ATENÇÃO: OBSERVAR A UNIDADE DE MEDIDA DO SIPAC E COLOCAR MÚLTIPLO DE 25G.</t>
  </si>
  <si>
    <t>374793</t>
  </si>
  <si>
    <t>Substituído por fita é o mais comum nas pesquisas de site</t>
  </si>
  <si>
    <t>MAGNÉSIO METÁLICO EM FITA</t>
  </si>
  <si>
    <t>CATMAT - 398904 - Magnésio, aspecto físico: em fita, fórmula química: mg, peso molecular: 24,31 g,mol, grau de pureza: pureza mínima de 99,5%, característica adicional:dimensões 0,2 mm x 3 mm,  número de referência química: CAS 7439-95-4, entregue em frasco com 25g. Atenção: observar a unidade de medida do SIPAC e colocar múltiplo de 25g.</t>
  </si>
  <si>
    <t>https://www.labimport.com.br/reagentes/magnesio/magnesio-metalico-em-fita-purissimo-25g</t>
  </si>
  <si>
    <t>https://www.lojaacscientifica.com.br/magnesio-metalico-em-fita-aprox3mx02mm-purissimo-embalagem-25g</t>
  </si>
  <si>
    <t>MEIO DE TRANSPORTE CARY-BLAIR FRASCO 500G</t>
  </si>
  <si>
    <t>480902</t>
  </si>
  <si>
    <t>MEIO DE TRANSPORTE CARY-BLAIR 500 G</t>
  </si>
  <si>
    <t>CATMAT -336371- meio de transporte CARY-BLAIR média base - Meio de cultura, apresentação pó, frasco de 500g</t>
  </si>
  <si>
    <t>https://www.biosynesis.com.br/produto/meio-de-transporte-cary-blair-frasco-500g.html?utm_source=Site&amp;utm_medium=GoogleMerchant&amp;utm_campaign=GoogleMerchant&amp;srsltid=AfmBOorgpdaoTgvNCF4E7RShaQr9OkVXD5cpeCx67qQ1tMczB8IOv4NydpU</t>
  </si>
  <si>
    <t>https://www.orionprodutoscientificos.com.br/meio-de-trasporte-cary-blair-frasco-500g-himedia</t>
  </si>
  <si>
    <t>https://www.bclab.com.br/meios-de-cultura/meio-de-transporte-cary-blair-frasco-500g-kasvi</t>
  </si>
  <si>
    <t>CATMAT -403993- MOLIBDATO DE AMÔNIO, ASPECTO FÍSICO PÓ CRISTALINO BRANCO A LEVEMENTE AMARELADO, PESO MOLECULAR 1235,86, FÓRMULA QUÍMICA (NH4)6MO7O24·4H2O (HEPTAMOLIBDATO, TETRAHIDRATADO), GRAU DE PUREZA TEOR DE MOO3 81,0 A 83,0%, PUREZA MÍNIMA DE 99,0%, CARACTERÍSTICA ADICIONAL REAGENTE P.A. ACS, NÚMERO DE REFERÊNCIA QUÍMICA: CAS 12054-85-2, ENTREGUE EM FRASCO COM 100 G. ATENÇÃO: OBSERVAR A UNIDADE DE MEDIDA DO SIPAC E COLOCAR MÚLTIPLO DE 100 G.</t>
  </si>
  <si>
    <t>403993</t>
  </si>
  <si>
    <t>MOLIBDATO DE AMÔNIO (4H2O) P.A. ACS</t>
  </si>
  <si>
    <t>CATMAT -403993- Molibdato de amônio, aspecto físico pó cristalino branco a levemente amarelado, peso molecular 1235,86, fórmula química (NH4)6Mo7O24·4H2O (heptamolibdato, tetrahidratado), grau de pureza teor de MoO3 81,0 a 83,0%, pureza mínima de 99,0%, característica adicional reagente P.A. ACS, número de referência química: CAS 12054-85-2, entregue em frasco com 100 g. Atenção: observar a unidade de medida do SIPAC e colocar múltiplo de 100 g.</t>
  </si>
  <si>
    <t>https://www.labimport.com.br/reagentes/molibdato/molibdato-de-amonio-tetrahidratado-pa-acs-100g</t>
  </si>
  <si>
    <t>https://www.lojaacscientifica.com.br/molibdato-de-amonio-4h2o-pa-acs</t>
  </si>
  <si>
    <t>https://www.orionprodutoscientificos.com.br/molibdato-de-amonio-tetrahidratado-p-a-acs-100-g-fabricante-neon?utm_source=Site&amp;utm_medium=GoogleMerchant&amp;utm_campaign=GoogleMerchant</t>
  </si>
  <si>
    <t>CATMAT -375801- MOLIBDATO DE SÓDIO, ASPECTO FÍSICO:PÓ BRANCO CRISTALINO, PESO MOLECULAR: 241,95 G/MOL, FÓRMULA QUÍMICA: NA2MOO4·2H2O (DIHIDRATADO), PUREZA MÍNIMA DE 99%, CARACTERISTICA ADICIONAL: REAGENTE P.A., NÚMERO DE REFERÊNCIA QUÍMICA:CAS 10102-40-6. ATENÇÃO: OBSERVAR A UNIDADE DE MEDIDA DO SIPAC E COLOCAR MÚLTIPLO DE 100 G.</t>
  </si>
  <si>
    <t>375801</t>
  </si>
  <si>
    <t>MOLIBDATO DE SÓDIO (2H2O) P.A.</t>
  </si>
  <si>
    <t>CATMAT -375801- Molibdato de sódio, aspecto físico:pó branco cristalino, peso molecular: 241,95 g/mol, fórmula química: Na2MoO4·2H2O (dihidratado), pureza mínima de 99%, caracteristica adicional: reagente P.A., número de referência química:CAS 10102-40-6. Atenção: observar a unidade de medida do SIPAC e colocar múltiplo de 100 g.</t>
  </si>
  <si>
    <t>https://www.labimport.com.br/reagentes/molibdato/molibdato-de-sodio-2h2o-pa-100g</t>
  </si>
  <si>
    <t>https://www.orionprodutoscientificos.com.br/molibdato-de-sodio-2h2o-pa-100g-fabricante-exodo-cientifica</t>
  </si>
  <si>
    <t>https://www.lojaacscientifica.com.br/molibdato-de-sodio-2h2o-pa-acs</t>
  </si>
  <si>
    <t>CATMAT -347885- NAFTALENO, ASPECTO FÍSICO: PARTÍCULAS SÓLIDAS BRANCAS, PESO MOLECULAR: 128,17 G/MOL, FÓRMULA QUÍMICA: C10H8, PARA SÍNTESE (PS), PUREZA MÍNIMA 98,5% CARACTERÍSTICA ADICIONAL: NÚMERO DE REFERÊNCIA QUÍMICA: CAS 91-20-3, ENTREGUE EM FRASCO COM 500 G. ATENÇÃO: OBSERVAR A UNIDADE DE MEDIDA DO SIPAC E COLOCAR MÚLTIPLO DE 500 G.</t>
  </si>
  <si>
    <t>347885</t>
  </si>
  <si>
    <t>NAFTALENO PARA SÍNTESE</t>
  </si>
  <si>
    <t>CATMAT -347885- Naftaleno, aspecto físico: partículas sólidas brancas, peso molecular: 128,17 g/mol, fórmula química: C10H8, para síntese (PS), pureza mínima 98,5% característica adicional: número de referência química: CAS 91-20-3, entregue em frasco com 500 g. Atenção: observar a unidade de medida do SIPAC e colocar múltiplo de 500 g.</t>
  </si>
  <si>
    <t>https://www.orionprodutoscientificos.com.br/naftaleno-p-s-500-g-fabricante-neon</t>
  </si>
  <si>
    <t>https://www.labimport.com.br/reagentes/naftalina/naftalina-naftaleno-ps-500g-12111</t>
  </si>
  <si>
    <t>https://www.orionprodutoscientificos.com.br/naftalina-naftaleno-ps-500g-exodo-cientifica</t>
  </si>
  <si>
    <t>CATMAT -14290- NAFTILAMINA, FÓRMULA QUÍMICA: C10H9N -(ALFA-NAFTILAMINA OU 1-NAFTILAMINA), ASPECTO FÍSICO: CRISTAL INCOLOR, ODOR DE AMÔNIA, PESO MOLECULAR: 143,19 G/MOL, PUREZA MÍNIMA DE 99%, REAGENTE P.A., NÚMERO DE REFERÊNCIA QUÍMICA: CAS 134-32-7, FORNECIMENTO EM FRASCO DE 100 G. ATENÇÃO: OBSERVAR A UNIDADE DE MEDIDA DO SIPAC E COLOCAR MÚLTIPLO DE 100 G.</t>
  </si>
  <si>
    <t>14290</t>
  </si>
  <si>
    <t>NAFTILAMINA 1 (ALFA) P.A.</t>
  </si>
  <si>
    <t>CATMAT -359532- Naftilamina, fórmula química: C10H9N -(alfa-naftilamina ou 1-naftilamina), aspecto físico: cristal incolor, odor de amônia, peso molecular: 143,19 g/mol, pureza mínima de 99%, reagente P.A., número de referência química: CAS 134-32-7, fornecimento em frasco de 100 g. Atenção: observar a unidade de medida do SIPAC e colocar múltiplo de 100 g.</t>
  </si>
  <si>
    <t>https://www.lojanetlab.com.br/reagentes/pa/naftilamina-1-alfa-pa</t>
  </si>
  <si>
    <t>https://www.didaticasp.com.br/naftilamina-1-alfa-pa-100g</t>
  </si>
  <si>
    <t>https://www.lojaprolab.com.br/naftilamina-1-alfa-pa-79202</t>
  </si>
  <si>
    <t>CATMAT -327488- CORANTE TIPO: NIGROSINA HIDROSSOLÚVEL , ASPECTO FÍSICO: PÓ , CARACTERÍSTICAS ADICIONAIS: CI 50420, REAGENTE P.A., ENTREGUE EM FRASCO DE 25 G. ATENÇÃO: OBSERVAR A UNIDADE DE MEDIDA DO SIPAC E COLOCAR MÚLTIPLO DE 25 G.</t>
  </si>
  <si>
    <t>327488</t>
  </si>
  <si>
    <t>NIGROSINA P.A. (CI.50420)</t>
  </si>
  <si>
    <t>CATMAT -327488- Corante Tipo: Nigrosina Hidrossolúvel , Aspecto Físico: Pó , Características Adicionais: Ci 50420, Reagente P.A., entregue em Frasco de 25 g. Atenção: observar a unidade de medida do SIPAC e colocar múltiplo de 25 g.</t>
  </si>
  <si>
    <t>https://www.lojalinklab.com.br/nigrosina-ci-50420-pa-25g-sem-controle?parceiro=1142</t>
  </si>
  <si>
    <t>https://www.orionprodutoscientificos.com.br/nigrosina-pa-ci-50420-soluvel-em-h2o-25g-exodo-cientifica?utm_source=Site&amp;utm_medium=GoogleMerchant&amp;utm_campaign=GoogleMerchant</t>
  </si>
  <si>
    <t>https://www.didaticasp.com.br/produto/nigrosina-pa-25g-cas-8005-03-6.html</t>
  </si>
  <si>
    <t>NINHIDRINA PA ACS (GUARDAR EM GELADEIRA) EMBALAGEM DE 10GR</t>
  </si>
  <si>
    <t>ESTE REAGENTE NECESSITA SER GUARDADO EM GELADEIRA, ISSO SIGNIFICA QUE NECESSITA DE SER TRANSPORTADO EM REFIGERAÇÃO?</t>
  </si>
  <si>
    <t>NINHIDRINA P.A. ACS</t>
  </si>
  <si>
    <t>CATMAT -356830- NINIDRINA, ASPECTO FÍSICO:PÓ CRISTALINO BRANCO À LEVEMENTE AMARELADO, FÓRMULA QUÍMICA:C9H4O3.H2O, PESO MOLECULAR:178,14 G/MOL, GRAU DE PUREZA:PUREZA MÍNIMA DE 99%, CARACTERÍSTICA ADICIONAL:REAGENTE P.A. ACS, NÚMERO DE REFERÊNCIA QUÍMICA:CAS 485-47-2, entregue em Frasco de 25 g. Atenção: observar a unidade de medida do SIPAC e colocar múltiplo de 25 g. REAGENTE NECESSITA DE REFRIGERANÇÃO DURANTE O TRANSPORTE, AO CHEGAR DEVE SER GUARDADO EM GELADEIRA.</t>
  </si>
  <si>
    <t>https://www.labimport.com.br/reagentes/ninhidrina/ninhidrina-pa-acs-guardar-em-geladeira-25g</t>
  </si>
  <si>
    <t>https://www.lojalinklab.com.br/ninhidrina-pa-acs-25g-sem-controle?parceiro=1142</t>
  </si>
  <si>
    <t>https://www.orionprodutoscientificos.com.br/ninhidrinapa-acs-apos-aberto-guardar-em-geladeira-25g-exodo-cientifica?utm_source=Site&amp;utm_medium=GoogleMerchant&amp;utm_campaign=GoogleMerchant</t>
  </si>
  <si>
    <t>CATMAT -374389- NITRATO DE ALUMÍNIO - ASPECTO FÍSICO: CRISTAIS BRANCOS PESO MOLECULAR: 375,13 G/MOL FÓRMULA QUÍMICA: AL(NO3)3·9H2O (NONAHIDRATADO) GRAU DE PUREZA: PUREZA MÍNIMA DE 98,5% CARACTERÍSTICA ADICIONAL: REAGENTE P.A ACS NÚMERO DE REFERÊNCIA QUÍMICA: CAS 7784-27-2. FORNECIMENTO EM FRASCO DE 500 G. ATENÇÃO: OBSERVAR A UNIDADE DE MEDIDA DO SIPAC E COLOCAR MÚLTIPLO DE 500 G.</t>
  </si>
  <si>
    <t>374389</t>
  </si>
  <si>
    <t>NITRATO DE ALUMÍNIO (9H2O) PA ACS</t>
  </si>
  <si>
    <t xml:space="preserve">CATMAT -374389- NITRATO DE ALUMÍNIO - ASPECTO FÍSICO: CRISTAIS BRANCOS PESO MOLECULAR: 375,13 G/MOL FÓRMULA QUÍMICA: AL(NO3)3·9H2O (NONAHIDRATADO) GRAU DE PUREZA: PUREZA MÍNIMA DE 98% CARACTERÍSTICA ADICIONAL: REAGENTE P.A ACS NÚMERO DE REFERÊNCIA QUÍMICA: CAS 7784-27-2. Fornecimento em frasco de 500 g. Atenção: observar a unidade de medida do SIPAC e colocar múltiplo de 500 g. </t>
  </si>
  <si>
    <t>https://www.orionprodutoscientificos.com.br/nitrato-de-aluminio-9h2o-pa-acs-500g-exodo-cientifica?utm_source=Site&amp;utm_medium=GoogleMerchant&amp;utm_campaign=GoogleMerchant</t>
  </si>
  <si>
    <t>https://www.lojalinklab.com.br/nitrato-de-aluminio-9h2o-pa-250g-sem-controle?srsltid=AfmBOooexkEqZ3ss13V5e5-XLbjH4C-SCNKL4yqxI4FyXL1rvGXRgxxWsek</t>
  </si>
  <si>
    <t>https://www.labhouse.com.br/nitrato-de-aluminio-9h2o-pa-acs-500gr</t>
  </si>
  <si>
    <t>CATMAT -358297- NITRATO DE AMÔNIO, PESO MOLECULAR 80,04 G/MOL, ASPECTO FÍSICO PÓ FINO, CRISTALINO. ESBRANQUIÇADO, FÓRMULA QUÍMICA NH4NO3, GRAU DE PUREZA PUREZA MÍNIMA DE 95%, CARACTERÍSTICA ADICIONAL REAGENTE P.A., NÚMERO DE REFERÊNCIA QUÍMICA CAS 6484-52-2. ENTREGUE EM FRASCO COM 500 G. ATENÇÃO: OBSERVAR A UNIDADE DE MEDIDA DO SIPAC E COLOCAR MÚLTIPLO DE 500 G.</t>
  </si>
  <si>
    <t>358297</t>
  </si>
  <si>
    <t>Convertido para kg para ter cotaçẽos</t>
  </si>
  <si>
    <t>NITRATO DE AMÔNIO P.A.</t>
  </si>
  <si>
    <t>CATMAT -358297- nitrato de amônio, peso molecular 80,04 g/mol, aspecto físico pó fino, cristalino. esbranquiçado, fórmula química NH4NO3, grau de pureza pureza mínima de 95%, característica adicional reagente P.A., número de referência química CAS 6484-52-2. Entregue em frasco com 500 g.</t>
  </si>
  <si>
    <t>https://www.lojalinklab.com.br/nitrato-de-amonio-pa-500g-exercitoqm-controle-eb-e-pc?parceiro=1142</t>
  </si>
  <si>
    <t>CATMAT 359009 - NITRATO DE CÁLCIO. ASPECTO FÍSICO: CRISTAL BRANCO, INODORO, HIGROSCÓPICO. FÓRMULA QUÍMICA: CA(NO3)2.4H2O (TETRAHIDRATADO). MASSA MOLECULAR: 236,15 G/MOL. GRAU DE PUREZA: PUREZA MÍNIMA DE 99%. CARACTERÍSTICA ADICIONAL: REAGENTE P.A. NÚMERO DE REFERÊNCIA QUÍMICA: CAS 13477-34-4. ENTREGUE EM FRASCO COM 500 G. ATENÇÃO: OBSERVAR A UNIDADE DE MEDIDA DO SIPAC E COLOCAR MÚLTIPLO DE 500 G.</t>
  </si>
  <si>
    <t>359009</t>
  </si>
  <si>
    <t>NITRATO DE CÁLCIO (4H2O) P.A.</t>
  </si>
  <si>
    <t xml:space="preserve">CATMAT 359009 - NITRATO DE CÁLCIO. ASPECTO FÍSICO: CRISTAL BRANCO, INODORO, HIGROSCÓPICO. FÓRMULA QUÍMICA: CA(NO3)2.4H2O (TETRAHIDRATADO). MASSA MOLECULAR: 236,15 G/MOL. GRAU DE PUREZA: PUREZA MÍNIMA DE 99%. CARACTERÍSTICA ADICIONAL: REAGENTE P.A. NÚMERO DE REFERÊNCIA QUÍMICA: CAS 13477-34-4. Entregue em frasco com 500 g. Atenção: observar a unidade de medida do SIPAC e colocar múltiplo de 500 g. </t>
  </si>
  <si>
    <t>https://www.lojaacscientifica.com.br/nitrato-de-calcio-4h2o-pa-acs?variation=14180190</t>
  </si>
  <si>
    <t>https://www.labimport.com.br/reagentes/nitrato/nitrato-de-calcio-4h2o-pa-acs-500g-12127</t>
  </si>
  <si>
    <t>https://www.lojalinklab.com.br/nitrato-de-calcio-4h2o-pa-acs-500g-sem-controle?parceiro=1142</t>
  </si>
  <si>
    <t>[NITRATO DE ESTRÔNCIO P.A.] NITRATO DE ESTRÔNCIO, ASPECTO FÍSICO: PÓ BRANCO, INODORO, COMPOSIÇÃO: SR(NO3)2, PESO MOLECULAR: 211,63 G/MOL, PUREZA MÍNIMA DE 99%, CARACTERÍSTICA ADICIONAL: REAGENTE P.A., NÚMERO DE REFERÊNCIA QUÍMICA: CAS 10042-76-9</t>
  </si>
  <si>
    <t>358985</t>
  </si>
  <si>
    <t>NITRATO DE ESTRÔNCIO P.A.</t>
  </si>
  <si>
    <t xml:space="preserve">CATMAT -358985- NITRATO DE ESTRÔNCIO, ASPECTO FÍSICO:PÓ BRANCO, INODORO, COMPOSIÇÃO:SR(NO3)2, PESO MOLECULAR:211,63 G/MOL, GRAU DE PUREZA:PUREZA MÍNIMA DE 99%, CARACTERÍSTICA ADICIONAL:REAGENTE P.A., NÚMERO DE REFERÊNCIA QUÍMICA:CAS 10042-76-9, entregue em frasco com 250 g. Atenção: observar a unidade de medida do SIPAC e colocar múltiplo de 250 g. </t>
  </si>
  <si>
    <t>https://www.orionprodutoscientificos.com.br/nitrato-de-estroncio-p-a-250-g-fabricante-neon?utm_source=Site&amp;utm_medium=GoogleMerchant&amp;utm_campaign=GoogleMerchant</t>
  </si>
  <si>
    <t>https://www.orionprodutoscientificos.com.br/nitrato-de-estroncio-pa-acs-250g-exodo-cientifica?utm_source=Site&amp;utm_medium=GoogleMerchant&amp;utm_campaign=GoogleMerchant</t>
  </si>
  <si>
    <t>https://www.didaticasp.com.br/produto/nitrato-de-estroncio-pa-250g-cas-10042-76-9-ssp.html</t>
  </si>
  <si>
    <t>CATMAT -358984- NITRATO DE FERRO, ASPECTO FÍSICO CRISTAIS INCOLORES A VIOLETA PÁLIDO, HIGROSCÓPICOS, PESO MOLECULAR 404,00, COMPOSIÇÃO QUÍMICA FE(NO3)3.9H2O (FERRO III NONAHIDRATADO), GRAU DE PUREZA PUREZA MÍNIMA DE 98%, CARACTERÍSTICA ADICIONAL REAGENTE P.A., NÚMERO DE REFERÊNCIA QUÍMICA CAS 7782-61-8, ENTREGUE EM FRASCO COM 250 G. (UNIDADE G)</t>
  </si>
  <si>
    <t>358984</t>
  </si>
  <si>
    <t>NITRATO DE FERRO III ICO (9H2O) P.A.</t>
  </si>
  <si>
    <t xml:space="preserve">CATMAT -358984- Nitrato de ferro, aspecto físico cristais incolores a violeta pálido, higroscópicos, peso molecular 404,00 g/mol, composição química Fe(NO3)3.9H2O (ferro III nona-hidratado), pureza mínima de 98%, característica adicional reagente P.A., número de referência química: CAS 7782-61-8, entregue em frasco com 250 g. Atenção: observar a unidade de medida do SIPAC e colocar múltiplo de 250 g. </t>
  </si>
  <si>
    <t>https://mercadobiologico.com.br/produto/nitrato-de-ferro-iii-ico-9h2o-pa-100g/</t>
  </si>
  <si>
    <t>https://www.lojaacscientifica.com.br/nitrato-de-ferro-iii-ico-9h2o-pa-acs?variation=14180215</t>
  </si>
  <si>
    <t>https://www.labimport.com.br/substancias/nitrato/nitrato-de-ferro-iii-ico-9h2o-pa-1kg-conc-98-dens-1-64</t>
  </si>
  <si>
    <t xml:space="preserve">[NITRATO DE LÍTIO] NITRATO DE ESTRÔNCIO, ASPECTO FÍSICO: PÓ CRISTALINO INCOLOR, COMPOSIÇÃO: LINO3, PESO MOLECULAR: 68,95 G/MOL, PUREZA MÍNIMA DE 99,99%, NÚMERO DE REFERÊNCIA QUÍMICA: CAS 7790-69-4
</t>
  </si>
  <si>
    <t>382193</t>
  </si>
  <si>
    <t>NITRATO DE LÍTIO P.A.</t>
  </si>
  <si>
    <t xml:space="preserve">CATMAT -382192- NITRATO DE LÍTIO, ASPECTO FÍSICO:PÓ CRISTALINO INCOLOR, INODORO, FÓRMULA QUÍMICA:LINO3, PESO MOLECULAR:68,95 G/MOL, PUREZA MÍNIMA DE 95%, CARACTERÍSTICA ADICIONAL REAGENTE P.A. NÚMERO DE REFERÊNCIA QUÍMICA:CAS 7790-69-4, entregue em frasco com 100 g. Atenção: observar a unidade de medida do SIPAC e colocar múltiplo de 100 g. </t>
  </si>
  <si>
    <t>https://www.lojaacscientifica.com.br/nitrato-de-litio-pa</t>
  </si>
  <si>
    <t>https://www.orionprodutoscientificos.com.br/nitrato-de-litio-pa-100g-exodo-cientifica</t>
  </si>
  <si>
    <t xml:space="preserve">CATMAT -358986- NITRATO DE MAGNÉSIO, ASPECTO FÍSICO CRISTAL BRANCO, INODORO, HIGROSCÓPICO, FÓRMULA QUÍMICA MG(NO3)2.6H2O (HEXA-HIDRATADO), PESO MOLECULAR 256,41 G/MOL, PUREZA MÍNIMA DE 98%, CARACTERÍSTICA ADICIONAL REAGENTE P.A., NÚMERO DE REFERÊNCIA QUÍMICA CAS 13446-18-9, ENTREGUE EM FRASCO COM 500 G. ATENÇÃO: OBSERVAR A UNIDADE DE MEDIDA DO SIPAC E COLOCAR MÚLTIPLO DE 500 G.
</t>
  </si>
  <si>
    <t>358986</t>
  </si>
  <si>
    <t>NITRATO DE MAGNÉSIO (6H2O) P.A.</t>
  </si>
  <si>
    <t xml:space="preserve">CATMAT -358986- Nitrato de magnésio, aspecto físico cristal branco, inodoro, higroscópico, fórmula química Mg(NO3)2.6H2O (hexa-hidratado), peso molecular 256,41 g/mol, pureza mínima de 98%, característica adicional reagente P.A., número de referência química CAS 13446-18-9, entregue em frasco com 500 g. Atenção: observar a unidade de medida do SIPAC e colocar múltiplo de 500 g. </t>
  </si>
  <si>
    <t>https://www.orionprodutoscientificos.com.br/nitrato-de-magnesio-6h2o-pa-500g-exodo-cientifica?utm_source=Site&amp;utm_medium=GoogleMerchant&amp;utm_campaign=GoogleMerchant</t>
  </si>
  <si>
    <t>https://www.lojaacscientifica.com.br/nitrato-de-magnesio-6h2o-pa-acs-embalagem-500g</t>
  </si>
  <si>
    <t>https://www.ciruvix.com.br/avof4zf9y-nitrato-de-magnesio-6h2o-pa-acs-500g-dinamica</t>
  </si>
  <si>
    <t>CATMAT -357897- NITRATO DE POTÁSSIO, ASPECTO FÍSICO: CRISTAL BRANCO, INODORO, PESO MOLECULAR: 101,11 G/MOL, FÓRMULA QUÍMICA: KNO3, PUREZA MÍNIMA DE 99,8%, NÚMERO DE REFERÊNCIA QUÍMICA: CAS 7757-79-1, CARACTERÍSTICA ADICIONAL REAGENTE P.A., ENTREGUE EM FRASCO COM 500 G. ATENÇÃO: OBSERVAR A UNIDADE DE MEDIDA DO SIPAC E COLOCAR MÚLTIPLO DE 500 G.</t>
  </si>
  <si>
    <t>357897</t>
  </si>
  <si>
    <t>NITRATO DE POTÁSSIO P.A.</t>
  </si>
  <si>
    <t xml:space="preserve">CATMAT -357897- Nitrato de potássio, aspecto físico: cristal branco, inodoro, peso molecular: 101,11 g/mol, fórmula química: KNO3, pureza mínima de 99,8%, número de referência química: CAS 7757-79-1, característica adicional reagente P.A., entregue em frasco com 500 g. Atenção: observar a unidade de medida do SIPAC e colocar múltiplo de 500 g. </t>
  </si>
  <si>
    <t>https://www.lojalinklab.com.br/nitrato-de-potassio-pa-500g-controle-eb-e-pc?parceiro=1142</t>
  </si>
  <si>
    <t xml:space="preserve">[NITRATO DE PRATA P.A. ACS] NITRATO DE PRATA, ASPECTO FÍSICO CRISTAL INCOLOR, TRANSPARENTE, INODORO, FÓRMULA QUÍMICA AGNO3, PESO MOLECULAR 169,87 G/MOL, PUREZA MÍNIMA DE 99,5%, CARACTERÍSTICA ADICIONAL REAGENTE P.A. ACS, NÚMERO DE REFERÊNCIA QUÍMICA CAS 7761-88-8, ENTREGUE EM FRASCO COM 25 G. ATENÇÃO: OBSERVAR A UNIDADE DE MEDIDA DO SIPAC E COLOCAR MÚLTIPLO DE 25 G.
</t>
  </si>
  <si>
    <t>412728</t>
  </si>
  <si>
    <t>NITRATO DE PRATA P.A. ACS</t>
  </si>
  <si>
    <t xml:space="preserve">CATMAT -412728- Nitrato de prata, aspecto físico cristal incolor, transparente, inodoro, fórmula química AgNO3, peso molecular 169,87 g/mol, pureza mínima de 99,5%, característica adicional reagente P.A. ACS, número de referência química CAS 7761-88-8, entregue em frasco com 25 g. Atenção: observar a unidade de medida do SIPAC e colocar múltiplo de 25 g. </t>
  </si>
  <si>
    <t>https://www.labimport.com.br/reagentes/nitrato/nitrato-de-prata-pa-acs-25g</t>
  </si>
  <si>
    <t>https://www.orionprodutoscientificos.com.br/nitrato-de-prata-pa-acs-25g-exodo-cientifica</t>
  </si>
  <si>
    <t>https://quimisulsc.com.br/produto/nitrato-de-prata-p-a/?srsltid=AfmBOorRR3-YqHopwDyQjVSKxJ1fmAf0BCHp_q6biXNp6f78YZvaTOB2DeE</t>
  </si>
  <si>
    <t>CATMAT -358988- NITRATO DE SÓDIO, ASPECTO FÍSICO: CRISTAL BRANCO, INODORO, HIGROSCÓPICO, FÓRMULA QUÍMICA: NANO3, PESO MOLECULAR: 84,99 G/MOL, PUREZA MÍNIMA DE 99%, CARACTERÍSTICA ADICIONAL: REAGENTE P.A., NÚMERO DE REFERÊNCIA QUÍMICA: CAS 7631-99-4, ENTREGUE EM FRASCO COM 500 G. ATENÇÃO: OBSERVAR A UNIDADE DE MEDIDA DO SIPAC E COLOCAR MÚLTIPLO DE 500 G.</t>
  </si>
  <si>
    <t>358988</t>
  </si>
  <si>
    <t>NITRATO DE SÓDIO P.A.</t>
  </si>
  <si>
    <t xml:space="preserve">CATMAT -358988- Nitrato de sódio, aspecto físico: cristal branco, inodoro, higroscópico, fórmula química: NANO3, peso molecular: 84,99 g/mol, pureza mínima de 99%, característica adicional: reagente P.A., número de referência química: CAS 7631-99-4, entregue em frasco com 500 g. Atenção: observar a unidade de medida do SIPAC e colocar múltiplo de 500 g. </t>
  </si>
  <si>
    <t>https://www.labimport.com.br/reagentes/nitrato/nitrato-de-sodio-pa-500g-12143</t>
  </si>
  <si>
    <t>https://www.lojalinklab.com.br/nitrato-de-sodio-pa-500g-controle-pc?parceiro=1142</t>
  </si>
  <si>
    <t>https://quimisulsc.com.br/produto/nitrato-de-sodio-pa-500g/?srsltid=AfmBOorW1fXhMYGHY1TEXHCSaUkKoMe0O22KMCuQ0MrgiMbo62GpqjYyImQ</t>
  </si>
  <si>
    <t xml:space="preserve">[NITRATO DE ZINCO P.A. (6H2O)] NITRATO DE ZINCO, ASPECTO FÍSICO: CRISTAL INCOLOR A ESBRANQUIÇADO, LEVE ODOR NÍTRICO, FÓRMULA QUÍMICA: ZN(NO3)2.6H2O (HEXA-HIDRATADO), PESO MOLECULAR: 297,49 G/MOL, PUREZA MÍNIMA DE 99%, CARACTERÍSTICA ADICIONAL: REAGENTE P.A., NÚMERO DE REFERÊNCIA QUÍMICA: CAS 10196-18-6, ENTREGUE EM FRASCO COM 500 G, ATENÇÃO: OBSERVAR A UNIDADE DE MEDIDA DO SIPAC E COLOCAR MÚLTIPLO DE 500 G.
</t>
  </si>
  <si>
    <t>420021</t>
  </si>
  <si>
    <t>NITRATO DE ZINCO P.A. (6H2O)</t>
  </si>
  <si>
    <t xml:space="preserve">CATMAT -420021- Nitrato de zinco, aspecto físico: cristal incolor a esbranquiçado, leve odor nítrico, fórmula química: Zn(NO3)2.6H2O (hexa-hidratado), peso molecular: 297,49 g/mol, pureza mínima de 99%, característica adicional: reagente P.A., número de referência química: CAS 10196-18-6, entregue em frasco com 500 g, Atenção: observar a unidade de medida do SIPAC e colocar múltiplo de 500 g. </t>
  </si>
  <si>
    <t>https://www.orionprodutoscientificos.com.br/nitrato-de-zinco-pa-500g-exodo-cientifica</t>
  </si>
  <si>
    <t>https://www.laderquimica.com.br/nitrato-de-zinco-pa-500g-dinamica?utm_source=Site&amp;utm_medium=GoogleShopping&amp;utm_campaign=GooglePMax&amp;srsltid=AfmBOoo5np19fwuP_f2BZvJWRFpoA-BNeTwWYlGHuqLwn947u7by2AisNhA</t>
  </si>
  <si>
    <t>https://www.labimport.com.br/reagentes/nitrato/nitrato-de-zinco-pa-500g</t>
  </si>
  <si>
    <t xml:space="preserve">[OXALATO DE CÁLCIO P.A.] OXALATO DE CÁLCIO, ASPECTO FÍSICO  PÓ BRANCO CRISTALINO, INODORO, HIGROSCÓPICO, FÓRMULA QUÍMICA CAC2O4.H2O, MASSA MOLECULAR 146,11 G/MOL, PUREZA MÍNIMA DE 98%, CARACTERÍSTICA ADICIONAL REAGENTE P.A., NÚMERO DE REFERÊNCIA QUÍMICA CAS 5794-28-5. ENTREGUE EM FRASCO COM 500 G. ATENÇÃO: OBSERVAR A UNIDADE DE MEDIDA DO SIPAC E COLOCAR MÚLTIPLO DE 500 G.
</t>
  </si>
  <si>
    <t>422805</t>
  </si>
  <si>
    <t>OXALATO DE CALCIO HIDRATADO P.A.</t>
  </si>
  <si>
    <t xml:space="preserve">CATMAT -422805-  OXALATO DE CÁLCIO, COMPOSIÇÃO QUÍMICA:CARBONATO DE CÁLCIO MONOHIDRATADO, FÓRMULA QUÍMICA :CAC2O4.H2O, ASPECTO FÍSICO :PÓ BRANCO CRISTALINO, INODORO, HIGROSCÓPICO, MASSA MOLAR:146,11 G/MOL, GRAU DE PUREZA :PUREZA MÍNIMA DE 98%, CARACTERÍSTICA ADICIONAL :REAGENTE P.A., NÚMERO DE REFERÊNCIA QUÍMICA :CAS 5794-28-5, entregue em frasco com 100 g. Atenção: observar a unidade de medida do SIPAC e colocar múltiplo de 100 g. </t>
  </si>
  <si>
    <t>https://www.orionprodutoscientificos.com.br/oxalato-de-calcio-hidratado-pa-100g-exodo-cientifica?utm_source=Site&amp;utm_medium=GoogleMerchant&amp;utm_campaign=GoogleMerchant</t>
  </si>
  <si>
    <t>https://www.lojaacscientifica.com.br/oxalato-de-calcio-hidratado-pa-embalagem-100g</t>
  </si>
  <si>
    <t>https://www.lojalinklab.com.br/oxalato-de-calcio-hidratado-pa-100g-sem-controle?parceiro=1142</t>
  </si>
  <si>
    <t>[OXALATO DE SÓDIO P.A.] OXALATO DE SÓDIO, ASPECTO FÍSICO FINOS CRISTAIS BRANCOS, INODOROS, FÓRMULA QUÍMICA NA2C2O4, MASSA MOLECULAR 134,01, GRAU DE PUREZA PUREZA MÍNIMA DE 99%, CARACTERÍSTICA ADICIONAL REAGENTE P.A., NÚMERO DE REFERÊNCIA QUÍMICA CAS 62-76-0. ENTREGUE EM FRASCO COM 500 G. (GRAMA). SIPAC 21000000251</t>
  </si>
  <si>
    <t>400844</t>
  </si>
  <si>
    <t>OXALATO DE SÓDIO P.A.</t>
  </si>
  <si>
    <t xml:space="preserve">CATMAT -400844- Oxalato de sódio, aspecto físico cristais finos brancos, inodoros, fórmula química Na2C2O4, massa molecular 134,01 g/mol, pureza mínima de 99%, característica adicional reagente P.A., número de referência química CAS 62-76-0. entregue em frasco com 500 g. Atenção: observar a unidade de medida do SIPAC e colocar múltiplo de 500 g. </t>
  </si>
  <si>
    <t>https://www.orionprodutoscientificos.com.br/oxalato-de-sodio-pa-500g-exodo-cientifica</t>
  </si>
  <si>
    <t>https://www.forlabexpress.com.br/oxalato-de-sodio-pa-acs-500g-acs-cientifica/?srsltid=AfmBOorKswQzKnKrhRnniwH2573nMFafykFn9uas56MbqJt0p-F9iZJFQPg</t>
  </si>
  <si>
    <t>https://www.orionprodutoscientificos.com.br/oxalato-de-sodio-p-a-500-g-fabricante-neon</t>
  </si>
  <si>
    <t>[ÓXIDO DE ALUMÍNIO (ALUMINA) P.A.] CATMAT -412804- ÓXIDO DE ALUMÍNIO, ASPECTO FÍSICO: PÓ OU GRÂNULOS BRANCOS, INODORO, FÓRMULA QUÍMICA: AL2O3, PESO MOLECULAR: 101,96 G/MOL, PUREZA MÍNIMA 99%, REAGENTE, P.A. NÚMERO DE REFERÊNCIA QUÍMICA: CAS 1344-28-1, ENTREGUE EM FRASCO DE 500 G. ATENÇÃO: OBSERVAR A UNIDADE DE MEDIDA DO SIPAC E COLOCAR MÚLTIPLO DE 500 G.</t>
  </si>
  <si>
    <t>412804</t>
  </si>
  <si>
    <t>ÓXIDO DE ALUMÍNIO (ALUMINA) P.A.</t>
  </si>
  <si>
    <t xml:space="preserve">CATMAT -412804- Óxido de alumínio, aspecto físico: pó ou grânulos brancos, inodoro, fórmula química: Al2O3, peso molecular: 101,96 g/mol, pureza mínima 99%, reagente, P.A. número de referência química: CAS 1344-28-1, entregue em frasco de 500 g. Atenção: observar a unidade de medida do SIPAC e colocar múltiplo de 500 g. </t>
  </si>
  <si>
    <t>https://www.orionprodutoscientificos.com.br/oxido-de-aluminio-pa-500g-exodo-cientifica</t>
  </si>
  <si>
    <t>https://www.lojaprlabor.com.br/produtos/oxido-de-aluminio-pa-500g/?pf=gs&amp;variant=351684369</t>
  </si>
  <si>
    <t>https://www.eplab.com.br/oxido-de-aluminio-pa-500gr-dinamica</t>
  </si>
  <si>
    <t xml:space="preserve">[ÓXIDO DE CÁLCIO P.A.] ÓXIDO DE CÁLCIO, ASPECTO FÍSICO PÓ BRANCO OU LEVEMENTE AMARELADO, INODORO, PESO MOLECULAR 56,08 G/MOL, FÓRMULA QUÍMICA CAO, PUREZA MÍNIMA DE 95%, CARACTERÍSTICA ADICIONAL REAGENTE P.A., NÚMERO DE REFERÊNCIA QUÍMICA: CAS 1305-78-8. ENTREGUE EM FRASCO COM 500 G. ATENÇÃO: OBSERVAR A UNIDADE DE MEDIDA DO SIPAC E COLOCAR MÚLTIPLO DE 500 G.
</t>
  </si>
  <si>
    <t>348679</t>
  </si>
  <si>
    <t>ÓXIDO DE CÁLCIO P.A.</t>
  </si>
  <si>
    <t xml:space="preserve">CATMAT -348679- Óxido de cálcio, aspecto físico pó branco ou levemente amarelado, inodoro, peso molecular 56,08 g/mol, fórmula química CaO, pureza mínima de 95%, característica adicional reagente P.A., número de referência química: CAS 1305-78-8. Entregue em frasco com 500 g. Atenção: observar a unidade de medida do SIPAC e colocar múltiplo de 500 g. </t>
  </si>
  <si>
    <t>https://www.labimport.com.br/reagentes/oxido-de-calcio/oxido-de-calcio-pa-500g-12163</t>
  </si>
  <si>
    <t>https://quimisulsc.com.br/produto/oxido-de-calcio-pa-500g/?srsltid=AfmBOoos2bpSeGe7FuVmEL9w_z19Vj7cdIXJC0jp3jBFE7orhvexygvUO2w</t>
  </si>
  <si>
    <t>https://www.orionprodutoscientificos.com.br/oxido-de-calcio-pa-500g-exodo-cientifica</t>
  </si>
  <si>
    <t>[ÓXIDO DE COBRE II ICO P.A.] CATMAT -486260- ÓXIDO DE COBRE, ASPECTO FÍSICO:EM FIO, FÓRMULA QUÍMICA: CUO, PESO MOLECULAR: 79,55 G/MOL, PUREZA MÍNIMA DE 99%, NÚMERO DE REFERÊNCIA QUÍMICA: CAS 1317-38-0. ATENÇÃO: OBSERVAR A UNIDADE DE MEDIDA DO SIPAC E COLOCAR MÚLTIPLO DE 500 G.</t>
  </si>
  <si>
    <t>ÓXIDO DE COBRE II ICO P.A.</t>
  </si>
  <si>
    <t xml:space="preserve">CATMAT -486260- Óxido de cobre, aspecto físico:em fio, fórmula química: CuO, peso molecular: 79,55 g/mol, pureza mínima de 99%, número de referência química: CAS 1317-38-0. Atenção: observar a unidade de medida do SIPAC e colocar múltiplo de 500 g. </t>
  </si>
  <si>
    <t>https://www.labimport.com.br/reagentes/oxido-de-cobre/oxido-de-cobre-ii-ico-em-po-pa-500g-12167</t>
  </si>
  <si>
    <t>https://www.orionprodutoscientificos.com.br/oxido-de-cobre-ii-ico-preto-pa-500g-exodo-cientifica?utm_source=Site&amp;utm_medium=GoogleMerchant&amp;utm_campaign=GoogleMerchant</t>
  </si>
  <si>
    <t>https://www.eplab.com.br/sulfato-de-cobre-ii-ico-5-h2o-pentahidratado-pa-acs-500g-acs</t>
  </si>
  <si>
    <t>ÓXIDO DE DEUTÉRIO, ASPECTO FÍSICO: LÍQUIDO LÍMPIDO, INCOLOR, INODORO, INSÍPIDO, PESO MOLECULAR: 20,03 G.MOL, FÓRMULA QUÍMICA: D2O, GRAU DE PUREZA: PUREZA MÍNIMA DE 99.9 ATOM % D, CARACTERÍSTICA ADICIONAL: REAGENTE, NÚMERO DE REFERÊNCIA QUÍMICA: CAS 7789-20-0. FRASCO CONTENDO 25 G</t>
  </si>
  <si>
    <t>355020</t>
  </si>
  <si>
    <t>ÓXIDO DE DEUTÉRIO (99.9 ATOM % D) 25G</t>
  </si>
  <si>
    <t xml:space="preserve">CATMAT -355020- Óxido de deutério, aspecto físico: líquido límpido, incolor, inodoro, insípido, peso molecular: 20,03 g/mol, fórmula química: D2O, grau de pureza: pureza mínima de 99.9 atom % D, característica adicional: reagente, número de referência química: cas 7789-20-0, entregue em frasco de 25 g. </t>
  </si>
  <si>
    <t>https://www.lojalinklab.com.br/oxido-de-deuterio-99-atom-d-10g-sem-controle?parceiro=1142</t>
  </si>
  <si>
    <t>CATMAT -376193- ÓXIDO DE ESTANHO, ASPECTO FÍSICO: PÓ BRANCO, LEVEMENTE ACINZENTADO, INODORO, FÓRMULA QUÍMICA: SNO2 (ÓXIDO ESTÂNICO - IV), PESO MOLECULAR: 150,71 G/MOL, PUREZA MÍNIMA DE 99,8%, NÚMERO DE REFERÊNCIA QUÍMICA: CAS 18282-10-5. ATENÇÃO: OBSERVAR A UNIDADE DE MEDIDA DO SIPAC E COLOCAR MÚLTIPLO DE 100 G.</t>
  </si>
  <si>
    <t>376193</t>
  </si>
  <si>
    <t>ÓXIDO DE ESTANHO IV (DIÓXIDO DE ESTANHO)</t>
  </si>
  <si>
    <t xml:space="preserve">CATMAT -376193- Óxido de estanho, aspecto físico: pó branco, levemente acinzentado, inodoro, fórmula química: SnO2 (óxido estânico - IV), peso molecular: 150,71 g/mol, pureza mínima de 99,8%, número de referência química: CAS 18282-10-5. Atenção: observar a unidade de medida do SIPAC e colocar múltiplo de 100 g. </t>
  </si>
  <si>
    <t>https://www.orionprodutoscientificos.com.br/oxido-de-estanho-pa-100g-exodo-cientifica?utm_source=Site&amp;utm_medium=GoogleMerchant&amp;utm_campaign=GoogleMerchant</t>
  </si>
  <si>
    <t>CATMAT -451537- ÓXIDO DE FERRO, ASPECTO FÍSICO: PÓ, FÓRMULA QUÍMICA: FE2O3 (III), PESO MOLECULAR: 159,69 G/MOL, PUREZA MÍNIMA DE 97%, CARACTERÍSTICA ADICIONAL: REAGENTE P.A., NÚMERO DE REFERÊNCIA QUÍMICA: CAS 1309-37-1, ENTREGUE EM FRASCO COM 100 G. ATENÇÃO: OBSERVAR A UNIDADE DE MEDIDA DO SIPAC E COLOCAR MÚLTIPLO DE 100 G.</t>
  </si>
  <si>
    <t>451537</t>
  </si>
  <si>
    <t>ÓXIDO DE FERRO III (ICO) P.A.</t>
  </si>
  <si>
    <t xml:space="preserve">CATMAT -451537- Óxido de ferro, aspecto físico: pó, fórmula química: FE2O3 (III), peso molecular: 159,69 g/mol, pureza mínima de 97%, característica adicional: reagente P.A., número de referência química: CAS 1309-37-1, entregue em frasco com 100 g. Atenção: observar a unidade de medida do SIPAC e colocar múltiplo de 100 g. </t>
  </si>
  <si>
    <t>https://www.forlabexpress.com.br/oxido-de-ferro-iii-ico-vermelho-pa-100g-acs-cientifica/?srsltid=AfmBOorETJonfe_lDskW2qK5jhQ-rbAKPziK9hdY01aKcDINZJFLCOs7JRA</t>
  </si>
  <si>
    <t>https://www.orionprodutoscientificos.com.br/oxido-de-ferro-iii-ico-verm-pa-100g-exodo-cientifica?utm_source=Site&amp;utm_medium=GoogleMerchant&amp;utm_campaign=GoogleMerchant</t>
  </si>
  <si>
    <t>https://www.lojalinklab.com.br/oxido-de-ferro-iii-ico-verm-pa-100g-sem-controle?parceiro=1142</t>
  </si>
  <si>
    <t>[ÓXIDO DE MANGANÊS IV P.A.] CATMAT -347546- ÓXIDO DE MANGANÊS, ASPECTO FÍSICO: PÓ MARROM ESCURO, FÓRMULA QUÍMICA: MNO2, PESO MOLECULAR: 86,94 G,MOL, GRAU DE PUREZA: PUREZA MÍNIMA DE 90%, CARACTERÍSTICA ADICIONAL: REAGENTE P.A., NÚMERO DE REFERÊNCIA QUÍMICA: CAS 1313-13-9. ATENÇÃO: OBSERVAR A UNIDADE DE MEDIDA DO SIPAC E COLOCAR MÚLTIPLO DE 500 G.</t>
  </si>
  <si>
    <t>347546</t>
  </si>
  <si>
    <t>ÓXIDO DE MANGANÊS IV P.A.</t>
  </si>
  <si>
    <t xml:space="preserve">CATMAT -347546- ÓXIDO DE MANGANÊS, ASPECTO FÍSICO: PÓ MARROM ESCURO, FÓRMULA QUÍMICA: MNO2, PESO MOLECULAR: 86,94 G,MOL, GRAU DE PUREZA: PUREZA MÍNIMA DE 90%, CARACTERÍSTICA ADICIONAL: REAGENTE P.A., NÚMERO DE REFERÊNCIA QUÍMICA: CAS 1313-13-9. Atenção: observar a unidade de medida do SIPAC e colocar múltiplo de 500 g. </t>
  </si>
  <si>
    <t>https://www.lojaacscientifica.com.br/oxido-de-manganes-iv-90-95-po-pa-bioxido-embalagem-500g</t>
  </si>
  <si>
    <t>https://www.labimport.com.br/reagentes/oxido-de-manganes/oxido-de-manganes-iv-90-a-95-pa-bioxido-500g</t>
  </si>
  <si>
    <t>https://www.orionprodutoscientificos.com.br/oxido-de-manganes-iv-250-g-fabricante-neon?utm_source=Site&amp;utm_medium=GoogleMerchant&amp;utm_campaign=GoogleMerchant</t>
  </si>
  <si>
    <t>CATMAT - 381702 - ÓXIDO DE SELÊNIO, ASPECTO FÍSICO: PÓ CRISTALINO BRANCO BRILHANTE, FÓRMULA MOLECULAR: SEO2, MASSA MOLAR: 110,96 G/MOL, GRAU DE PUREZA: PUREZA MÍNIMA DE 99,99%, NÚMERO DE REFERÊNCIA QUÍMICA: CAS 7446-08-4. ENTREGUE EM FRASCOS DE 25 G.</t>
  </si>
  <si>
    <t>381702</t>
  </si>
  <si>
    <t>Não achei no sipac</t>
  </si>
  <si>
    <t>OXIDO DE SELENIO(IV) 99,99%</t>
  </si>
  <si>
    <t>CATMAT -381702- ÓXIDO DE SELÊNIO, ASPECTO FÍSICO: PÓ CRISTALINO BRANCO BRILHANTE, FÓRMULA MOLECULAR: SEO2, MASSA MOLAR: 110,96 G/MOL, GRAU DE PUREZA: PUREZA MÍNIMA DE 99,99%, NÚMERO DE REFERÊNCIA QUÍMICA: CAS 7446-08-4. Entregue em frasco com 10. Atenção: observar a unidade de medida do SIPAC e colocar múltiplo de 10 g.</t>
  </si>
  <si>
    <t>https://www.carvalhaes.net/produto/detalhes/193980100/oxido-de-selenio-iv-99999-p-tracos-de-metais-10g</t>
  </si>
  <si>
    <t>https://www.sigmaaldrich.com/BR/pt/product/aldrich/204315</t>
  </si>
  <si>
    <t>"MARCADOR DE PESO MOLECULAR PARA DNA, 1KB. POSSÍVEL VISUALIZAÇÃO EM GÉIS DE AGAROSE CORADOS COM BROMETO DE ETÍDEO OU SYBR SAFE"</t>
  </si>
  <si>
    <t>322678</t>
  </si>
  <si>
    <t>PADRÃO PESO MOLECULAR 1KB FRASCO 500 UL</t>
  </si>
  <si>
    <t>CATMAT -322678- MARCADOR DE PESO MOLECULAR PARA DNA, 1KB. POSSÍVEL VISUALIZAÇÃO EM GÉIS DE AGAROSE CORADOS COM BROMETO DE ETÍDEO OU SYBR SAFE"</t>
  </si>
  <si>
    <t>https://www.orionprodutoscientificos.com.br/marcador-de-peso-molecular-1-kb-frasco-com-500-ul-kasvi?utm_source=Site&amp;utm_medium=GoogleMerchant&amp;utm_campaign=GoogleMerchant&amp;gad_source=4&amp;gclid=Cj0KCQjwncWvBhD_ARIsAEb2HW9Zkx49nlCYjL-w4B_kKkoENMaXxeXRaOBD9pMfV8dsZCE3G0tLkCsaArldEALw_wcB</t>
  </si>
  <si>
    <t>https://www.acsreagentes.com.br/marcador-de-peso-molecular-1-kb.-frasco-com-500-ul?utm_source=Site&amp;utm_medium=GoogleMerchant&amp;utm_campaign=GoogleMerchant&amp;gad_source=4&amp;gclid=Cj0KCQjwncWvBhD_ARIsAEb2HW_4G6CGaEpB1B8LhD-c5qwzcb-VldAUqMvNTtGhLOKnlwZVwpPbny0aAo1sEALw_wcB</t>
  </si>
  <si>
    <t>https://www.lojanetlab.com.br/reagentes/marcador-de-peso-molecular/marcador-de-peso-molecular-1-kb-frasco-com-500-k9-1000l-kasvi</t>
  </si>
  <si>
    <t>[PANCREATINA P.A. 500 G] PANCREATINA, ASPECTO FÍSICO: PÓ LIOFILIZADO. ENZIMA, TIPO: PANCREATINA, ASPECTO FÍSICO: PÓ LIOFILIZADO, CARACTERÍSTICAS ADICIONAIS: DE PÂNCREAS PORCINO, PUREZA MÍNIMA: MÍNIMO DE 95%G, FRASCO COM 500G.</t>
  </si>
  <si>
    <t>433226</t>
  </si>
  <si>
    <t>esse é nosso mesmo?</t>
  </si>
  <si>
    <t>PANCREATINA P.A. 500 G</t>
  </si>
  <si>
    <t xml:space="preserve">CATMAT -433226- Enzima, tipo: pancreatina, aspecto físico: pó liofilizado, características adicionais: de pâncreas porcino, pureza mínima: mínimo de 95%g, frasco com 500g. </t>
  </si>
  <si>
    <t>https://www.orionprodutoscientificos.com.br/pancreatina-pa-500g-exodo-cientifica?utm_source=Site&amp;utm_medium=GoogleMerchant&amp;utm_campaign=GoogleMerchant&amp;gad_source=4&amp;gclid=Cj0KCQjwncWvBhD_ARIsAEb2HW92rnt5-jI6l83tUqU8xNAgiyyzjLzcz8tHo3w92jaT_cLlfSvZ8GQaAp0REALw_wcB</t>
  </si>
  <si>
    <t>https://www.labimport.com.br/reagentes/pancreatina/pancreatina-pa-500g</t>
  </si>
  <si>
    <t>https://www.lojalinklab.com.br/pancreatina-pa-500g-sem-controle?parceiro=1142</t>
  </si>
  <si>
    <t>PARAFINA HISTOLÓGICA SÓLIDA 58 A 62 EM PASTILHA.PARAFINA, ASPECTO FÍSICO HISTOLÓGICA, SÓLIDA, BRANCA, PONTO FUSÃO 58 A 62, APRESENTAÇÃO EM PASTILHA</t>
  </si>
  <si>
    <t>464232</t>
  </si>
  <si>
    <t>PARAFINA HISTOLÓGICA SÓLIDA 58 A 62 EM PASTILHA</t>
  </si>
  <si>
    <t xml:space="preserve">CATMAT -464232- PARAFINA, ASPECTO FÍSICO HISTOLÓGICA, SÓLIDA, BRANCA, PONTO FUSÃO 58 A 62, APRESENTAÇÃO EM PASTILHA </t>
  </si>
  <si>
    <t>https://www.lojasynth.com/reagentes-analiticosmaterias-primas/reagentes-analiticosmaterias-primas/parafina-58-62-granulada?variant_id=301298</t>
  </si>
  <si>
    <t>https://www.labspeq.com.br/parafina-histologica-58-62-1kg-marca-exodo/</t>
  </si>
  <si>
    <t>https://www.orionprodutoscientificos.com.br/parafina-histologica-58-62-1kg-exodo-cientifica</t>
  </si>
  <si>
    <t>CATMAT -393126- SUPLEMENTO PARA MEIO DE CULTURA TIPO: PEPTONA BACTERIOLÓGICA , ASPECTO FÍSICO: PÓ</t>
  </si>
  <si>
    <t>393126</t>
  </si>
  <si>
    <t>PEPTONA BACTERIOLÓGICA FRASCO 500G</t>
  </si>
  <si>
    <t xml:space="preserve">CATMAT -393126- Suplemento Para Meio De Cultura Tipo: Peptona Bacteriológica , Aspecto Físico: Pó. Frasco 500 g </t>
  </si>
  <si>
    <t>https://www.lojanetlab.com.br/meios-de-cultura/agar/peptona-bacteriologica-frasco-500g-k25-611701-kasvi?parceiro=7105&amp;gad_source=4&amp;gclid=Cj0KCQjwncWvBhD_ARIsAEb2HW9TVe3lZOOuOxyH2ODYHoQLKFxPoJr90ZkrrB6MusxqjVawecfIKYIaAhgGEALw_wcB</t>
  </si>
  <si>
    <t>https://www.lojaprolab.com.br/peptona-bacteriologica-80519?utm_source=google&amp;utm_medium=feed&amp;utm_campaign=shopping&amp;gad_source=4&amp;gclid=Cj0KCQjwncWvBhD_ARIsAEb2HW_knTgC7hM6b1iGcdafNOC_25uwmdovWxVsUXFOWfCR2bLcR9sZLxwaAh-JEALw_wcB</t>
  </si>
  <si>
    <t>https://www.orionprodutoscientificos.com.br/peptona-bacteriologica-500g-exodo-cientifica?utm_source=Site&amp;utm_medium=GoogleMerchant&amp;utm_campaign=GoogleMerchant&amp;gad_source=4&amp;gclid=Cj0KCQjwncWvBhD_ARIsAEb2HW9ZrOTweLmaE5l1W6nLxqkZexyPHzXxE9x2yyCOkAmQ7MOtP-0qFdcaAufeEALw_wcB</t>
  </si>
  <si>
    <t>CATMAT -380907- PERMANGANATO DE POTÁSSIO, ASPECTO FÍSICO PÓ CRISTALINO MARROM VIOLÁCEO, INODORO, FÓRMULA QUÍMICA KMNO4, PESO MOLECULAR 158,03 G/MOL, PUREZA MÍNIMA DE 99%, CARACTERÍSTICA ADICIONAL REAGENTE P.A. ACS, NÚMERO DE REFERÊNCIA QUÍMICA CAS 7722-64-7. ENTREGUE EM FRASCO COM 500G. ATENÇÃO: OBSERVAR A UNIDADE DE MEDIDA DO SIPAC E COLOCAR MÚLTIPLO DE 500 G.</t>
  </si>
  <si>
    <t>380907</t>
  </si>
  <si>
    <t>PERMANGANATO DE POTÁSSIO P.A. ACS</t>
  </si>
  <si>
    <t xml:space="preserve">CATMAT -380907- Permanganato de potássio, aspecto físico pó cristalino marrom violáceo, inodoro, fórmula química KMnO4, peso molecular 158,03 g/mol, pureza mínima de 99%, característica adicional reagente P.A. ACS, número de referência química CAS 7722-64-7. Entregue em frasco com 500g. Atenção: observar a unidade de medida do SIPAC e colocar múltiplo de 500 g. </t>
  </si>
  <si>
    <t>https://www.lojalinklab.com.br/permanganato-de-potassio-pa-acs-500g-controle-pc-e-pf</t>
  </si>
  <si>
    <t xml:space="preserve">[PERÓXIDO DE HIDROGÊNIO 50% (200 VOLUMES) P.A.] PERÓXIDO DE HIDROGÊNIO, ASPECTO FÍSICO: LÍQUIDO INCOLOR, INSTÁVEL, CORROSIVO, COMPOSIÇÃO BÁSICA: H202, PESO MOLECULAR: 34,01 G,MOL, PUREZA MÍNIMA: TEOR MÍNIMO DE 50%, CARACTERÍSTICA ADICIONAL: REAGENTE P.A., NÚMERO DE REFERÊNCIA QUÍMICA: CAS 7722-84-1.
</t>
  </si>
  <si>
    <t>412698</t>
  </si>
  <si>
    <t>PERÓXIDO DE HIDROGÊNIO 50% (200 VOLUMES) P.A.</t>
  </si>
  <si>
    <t xml:space="preserve">CATMAT -412698- Peróxido de hidrogênio, aspecto físico: líquido incolor, instável, corrosivo, composição básica: H202, peso molecular: 34,01 g/mol, teor mínimo de 50%, característica adicional: reagente P.A., número de referência química: CAS 7722-84-1. </t>
  </si>
  <si>
    <t>LITRO</t>
  </si>
  <si>
    <t>https://www.lojaacscientifica.com.br/peroxido-de-hidrogenio-50-200-vol-agua-oxigenada-pa?variation=14183254</t>
  </si>
  <si>
    <t>PLASMA DE COELHO - SUPLEMENTO PARA MEIO DE CULTURA; ASPECTO FÍSICO: LIOFILIZADO. FRASCO 3 ML</t>
  </si>
  <si>
    <t>330642</t>
  </si>
  <si>
    <t>PLASMA DE COELHO LIOFILIZADO COM EDTA CAIXA COM 5 FRASCO DE 3 ML</t>
  </si>
  <si>
    <t>CATMAT -330642- Plasma de Coelho liofilizado COM EDTA. CAIXA COM 5 FRASCO DE 3 ML</t>
  </si>
  <si>
    <t>UNIDADES</t>
  </si>
  <si>
    <t>https://aclmaringa.com.br/produto/coaguplasma/</t>
  </si>
  <si>
    <t>[POLIETILENOGLICOL 6000 P.A.] CATMAT -416785- POLIETILENOGLICOL (MACROGOL), ASPECTO FÍSICO: FLOCOS CEROSOS BRANCOS A QUASE BRANCOS, ODOR FRACO, PESO MOLECULAR: EM TORNO DE 6.000 G/MOL (PEG 6.000), FÓRMULA QUÍMICA: OH(C2H4O)NH, NÚMERO DE REFERÊNCIA QUÍMICA: CAS 25322-68-3, P.A., ENTREGUE EM FRASCO COM 500 G. ATENÇÃO: OBSERVAR A UNIDADE DE MEDIDA DO SIPAC E COLOCAR MÚLTIPLO DE 500 G.</t>
  </si>
  <si>
    <t>416785</t>
  </si>
  <si>
    <t>POLIETILENOGLICOL 6000 P.A.</t>
  </si>
  <si>
    <t xml:space="preserve">CATMAT -416785- Polietilenoglicol (macrogol), aspecto físico: flocos cerosos brancos a quase brancos, odor fraco, peso molecular: em torno de 6.000 g/mol (PEG 6.000), fórmula química: OH(C2H4O)nH, número de referência química: CAS 25322-68-3, P.A., entregue em frasco com 500 g. Atenção: observar a unidade de medida do SIPAC e colocar múltiplo de 500 g. </t>
  </si>
  <si>
    <t>https://www.bclab.com.br/quimicos-reagentes/polietilenoglicol-6000-acs-cientifica?variant_id=2485&amp;gad_source=4&amp;gclid=Cj0KCQjwncWvBhD_ARIsAEb2HW8v1BIjyqZSeiXJF2j5ABb6aSZKZsWb4BFEvvyuZ595k3O8_ZodmdwaAjtyEALw_wcB</t>
  </si>
  <si>
    <t>https://www.lojasynth.com/reagentes-analiticosmaterias-primas/reagentes-analiticosmaterias-primas/polietilenoglicol-6000-peg-polietileno-glicol-pa?parceiro=2827&amp;gad_source=4&amp;gclid=Cj0KCQjwncWvBhD_ARIsAEb2HW8bWEq_e0xAv91iArZhjf6ZyqEMfuMc47QAPt_3x1mt946aM97weMwaAusvEALw_wcB&amp;variant_id=301356</t>
  </si>
  <si>
    <t>https://www.laderquimica.com.br/polietilenoglicol-6000-pa-500g-dinamica?utm_source=Site&amp;utm_medium=GoogleShopping&amp;utm_campaign=GooglePMax&amp;srsltid=AfmBOoqvBsvirFlm6-bURJ28WpROPYDv51W5TCJTO5wcyU1LDPznAddeUNo</t>
  </si>
  <si>
    <t>CATMAT -354392- NEGRO DE ERIOCROMO T, PESO MOLECULAR: 461,38 G/MOL, ASPECTO FÍSICO: PÓ ESCURO, PRETO MARROM, INODORO, FÓRMULA QUÍMICA: C20H12N3O7SNA, CARACTERÍSTICA ADICIONAL: REAGENTE P.A., NÚMERO DE REFERÊNCIA QUÍMICA: CAS 1787-61-7, ENTREGUE EM FRASCO COM 25 G. ATENÇÃO: OBSERVAR A UNIDADE DE MEDIDA DO SIPAC E COLOCAR MÚLTIPLO DE 25 G.</t>
  </si>
  <si>
    <t>354392</t>
  </si>
  <si>
    <t>PRETO DE ERIOCROMO T P.A.</t>
  </si>
  <si>
    <t>CATMAT -354392- Negro de eriocromo t, peso molecular: 461,38 g/mol, aspecto físico: pó escuro, preto marrom, inodoro, fórmula química: C20H12N3O7SNa, característica adicional: reagente P.A., número de referência química: CAS 1787-61-7, entregue em frasco com 25 g. Atenção: observar a unidade de medida do SIPAC e colocar múltiplo de 25 g.</t>
  </si>
  <si>
    <t>https://produto.mercadolivre.com.br/MLB-1696220205-preto-eriocromo-t-pa-frasco-25g-_JM?matt_tool=14804773&amp;matt_word=&amp;matt_source=google&amp;matt_campaign_id=14302215543&amp;matt_ad_group_id=130580035590&amp;matt_match_type=&amp;matt_network=g&amp;matt_device=c&amp;matt_creative=542969737626&amp;matt_keyword=&amp;matt_ad_position=&amp;matt_ad_type=pla&amp;matt_merchant_id=504461834&amp;matt_product_id=MLB1696220205&amp;matt_product_partition_id=2268051758590&amp;matt_target_id=pla-2268051758590&amp;cq_src=google_ads&amp;cq_cmp=14302215543&amp;cq_net=g&amp;cq_plt=gp&amp;cq_med=pla&amp;gad_source=1&amp;gclid=Cj0KCQjwncWvBhD_ARIsAEb2HW8AmVD_48BSBnSksGtEEHBCXzMuiBpQHOCa1-k5sKZ5BPK5IVkpWUAaAk6vEALw_wcB</t>
  </si>
  <si>
    <t>https://www.orionprodutoscientificos.com.br/produto/preto-de-eriocromo-t-ci14645-pa-acs-25g-exodo-cientifica.html</t>
  </si>
  <si>
    <t>https://www.didaticasp.com.br/preto-de-eriocromo-t-pa-25g</t>
  </si>
  <si>
    <t>21000000324- PROLINA, FÓRMULA QUÍMICA: C5H9NO2
(L-PROLINA), ASPECTO FÍSICO: PÓ BRANCO, PESO MOLECULAR: 115,13 G/MOL, PUREZA MÍNIMA DE 99%, CARACTERÍSTICA ADICIONAL: REAGENTE P.A., NÚMERO DE REFERÊNCIA QUÍMICA: CAS 147-85-3, ENTREGUE EM FRASCO DE 25 G. ATENÇÃO: OBSERVAR A UNIDADE DE MEDIDA DO SIPAC E COLOCAR MÚLTIPLO DE 25 G.</t>
  </si>
  <si>
    <t>412705</t>
  </si>
  <si>
    <t>Outros sites não eram indicavam como Pa o reagente. Porém as cotações com Pa estão bem diferentes</t>
  </si>
  <si>
    <t>PROLINA L P.A.</t>
  </si>
  <si>
    <t xml:space="preserve">CATMAT -412705- Prolina, fórmula química: C5H9NO2 (L-prolina), aspecto físico: pó branco, peso molecular: 115,13 g/mol, pureza mínima de 99%, característica adicional: reagente P.A., número de referência química: CAS 147-85-3, entregue em Frasco de 25 g. Atenção: observar a unidade de medida do SIPAC e colocar múltiplo de 25 g. </t>
  </si>
  <si>
    <t>Lauristela/sivaldo</t>
  </si>
  <si>
    <t>https://www.acsreagentes.com.br/hffllqr9t-prolina-l-pa-25g-proquimios</t>
  </si>
  <si>
    <t>https://www.orionprodutoscientificos.com.br/prolina-l-pa-25g-exodo-cientifica</t>
  </si>
  <si>
    <t>https://www.lojaprolab.com.br/prolina-l-79511</t>
  </si>
  <si>
    <t>QUERCETINA</t>
  </si>
  <si>
    <t>452323</t>
  </si>
  <si>
    <t>Não encontro no SIPAC, além de achar que seja um fármaco</t>
  </si>
  <si>
    <t>QUERCETINA HIDRATADA</t>
  </si>
  <si>
    <t xml:space="preserve">CATMAT -439236- QUERCETINA, ASPECTO FÍSICO:PÓ, FÓRMULA QUÍMICA:C15H10O7 (HIDRATADA), PESO MOLECULAR:302,24 G/MOL, GRAU DE PUREZA:PUREZA MÍNIMA DE 95%, NÚMERO DE REFERÊNCIA QUÍMICA:CAS 849061-97-8 </t>
  </si>
  <si>
    <t>CATMAT -338662- REAGENTE BRADFORD CORANTE, TIPO: REAGENTE DE BRADFORD, ASPECTO FÍSICO: LÍQUIDO; FRASCO COM 500 ML.</t>
  </si>
  <si>
    <t>338662</t>
  </si>
  <si>
    <t>REAGENTE BRADFORD FRASCO 500 ML</t>
  </si>
  <si>
    <t xml:space="preserve">CATMAT -338662- Reagente Bradford Corante, tipo: reagente de Bradford, aspecto físico: líquido; FRASCO com 500 mL. </t>
  </si>
  <si>
    <t>https://www.lojaprolab.com.br/reagente-de-bradford-pronto-para-uso-frasco-500ml-90911</t>
  </si>
  <si>
    <t>https://www.ludwigbiotec.com.br/product-page/bradford-500-ml</t>
  </si>
  <si>
    <t>https://www.forlabexpress.com.br/reagente-de-bradford-pronto-para-uso-para-determinac-o-da-concentrac-o-de-proteinas-500ml-nova-biotecnologia/?srsltid=AfmBOoqXaCjE14GdLKZxS-1eItmfkjViUzkYdD6WanFYE057s_MDtQDoFig</t>
  </si>
  <si>
    <t>HISTOFIX BOUIN, 1L DESC TÉCNICA: HISTOFIX BOUIN, SOLUÇÃO FIXADORA DE AMOSTRAS HISTOLÓGICAS, IDEAL PARA BIÓPSIAS DE TESTÍCULO, ENDOMÉTRIO E MEDULA ÓSSEA. FRASCO CONTENDO 1 LITRO, COM TAMPA E COM LACRE.</t>
  </si>
  <si>
    <t>372437</t>
  </si>
  <si>
    <t>REATIVO FIXADOR DE BOUIN</t>
  </si>
  <si>
    <t>CATMAT -372437- Reagente para diagnóstico clínico 5, características adicionais: solução para fixação de lâmina, composição básica: solução de Bouin, frasco 1000 mL.</t>
  </si>
  <si>
    <t>https://www.lojaacscientifica.com.br/reativo-fixador-de-bouin-embalagem-1l</t>
  </si>
  <si>
    <t>https://www.orionprodutoscientificos.com.br/reativo-fixador-de-bouin-1l-exodo-cientifica?utm_source=Site&amp;utm_medium=GoogleMerchant&amp;utm_campaign=GoogleMerchant</t>
  </si>
  <si>
    <t>https://www.lojalinklab.com.br/fixador-bouin-1l-sem-controle?parceiro=1142</t>
  </si>
  <si>
    <t>[RESORCINA (RESORCINOL) P.A.] CATMAT -452824- RESORCINOL, ASPECTO FÍSICO: PÓ BRANCO, CRISTALINO, ODOR CARACTERÍSTICO, FÓRMULA QUÍMICA: C6H6O2 (BENZENO-1,3-DIOL), PESO MOLECULAR: 110,11 G/MOL, PUREZA MÍNIMA DE 99%, CARACTERÍSTICA ADICIONAL: REAGENTE P.A., NÚMERO DE REFERÊNCIA QUÍMICA: CAS 108-46-3. ENTREGUE EM FRASCO COM 100G. ATENÇÃO: OBSERVAR A UNIDADE DE MEDIDA DO SIPAC E COLOCAR MÚLTIPLO DE 100 G.</t>
  </si>
  <si>
    <t>452824</t>
  </si>
  <si>
    <t>RESORCINA (RESORCINOL) P.A.</t>
  </si>
  <si>
    <t xml:space="preserve">CATMAT -452824- Resorcinol, aspecto físico: pó branco, cristalino, odor característico, fórmula química: C6H6O2 (benzeno-1,3-diol), peso molecular: 110,11 g/mol, pureza mínima de 99%, característica adicional: reagente P.A., número de referência química: CAS 108-46-3. Entregue em frasco com 100g. Atenção: observar a unidade de medida do SIPAC e colocar múltiplo de 100 g. </t>
  </si>
  <si>
    <t>https://www.ciruvix.com.br/resorcina-resorcinol-pa-acs-dinamica-100gr</t>
  </si>
  <si>
    <t>https://www.laderquimica.com.br/resorcina-pa-100g?utm_source=Site&amp;utm_medium=GoogleMerchant&amp;utm_campaign=GoogleMerchant&amp;srsltid=AfmBOoo0FfTqmeuR0j8eIxJ-tLLlBX3Cguc7u_cMfqh0avhlTghMpD-Bd14</t>
  </si>
  <si>
    <t>CATMAT -302856- RNASEZAP - AGENTE DE LIMPEZA PARA REMOÇÃO DE RNASES DE OBJETOS DE VIDRO, SUPERFÍCIES PLÁSTICAS, BANCADAS E PIPETAS. ARMAZENAMENTO EM TEMPERATURA AMBIENTE. (FRASCO COM 500ML)</t>
  </si>
  <si>
    <t>302856</t>
  </si>
  <si>
    <t>SOLUÇÃO DESCONTAMINANTE DE RNA DNA 500 ML</t>
  </si>
  <si>
    <t>CATMAT - 244300 - RNASEZAP - AGENTE DE LIMPEZA PARA REMOÇÃO DE RNASES DE OBJETOS DE VIDRO, SUPERFÍCIES PLÁSTICAS, BANCADAS E PIPETAS. ARMAZENAMENTO EM TEMPERATURA AMBIENTE. (FRASCO COM 500ML)</t>
  </si>
  <si>
    <t xml:space="preserve">[SACAROSE ISENTA DE DNASE, RNASE, PROTEASES E FOSFATASES] SACAROSE ULTRAPURA (ULTRAPURE SUCROSE). 
CATMAT -374748- SACAROSE, COMPOSIÇÃO QUÍMICA C12H22O11, PESO MOLECULAR 342,30 G/MOL, ASPECTO FÍSICO PÓ BRANCO CRISTALINO, INODORO, PUREZA MÍNIMA DE 99%, CARACTERÍSTICA ADICIONAL ISENTA DE DNASE, RNASE, PROTEASES E FOSFATASES, NÚMERO DE REFERÊNCIA QUÍMICA: CAS 57-50-1. FRASCO DE 5 KG
</t>
  </si>
  <si>
    <t>374748</t>
  </si>
  <si>
    <t xml:space="preserve">Confirmar sem vem em frascos de 5 kg </t>
  </si>
  <si>
    <t>SACAROSE ISENTA DE DNASE, RNASE, PROTEASES E FOSFATASES</t>
  </si>
  <si>
    <t>SACAROSE ULTRAPURA (ULTRAPURE SUCROSE). 
CATMAT -374748- SACAROSE, COMPOSIÇÃO QUÍMICA C12H22O11, PESO MOLECULAR 342,30 G/MOL, ASPECTO FÍSICO PÓ BRANCO CRISTALINO, INODORO, PUREZA MÍNIMA DE 99%, CARACTERÍSTICA ADICIONAL ISENTA DE DNASE, RNASE, PROTEASES E FOSFATASES, NÚMERO DE REFERÊNCIA QUÍMICA: CAS 57-50-1.</t>
  </si>
  <si>
    <t>[SACAROSE P.A.] CATMAT -419368- SACAROSE, COMPOSIÇÃO QUÍMICA C12H22O11, PESO MOLECULAR 342,29 G/MOL, ASPECTO FÍSICO PÓ BRANCO CRISTALINO, INODORO, REAGENTE P.A. CARACTERÍSTICA ADICIONAL PADRÃO DE REFERÊNCIA ANALÍTICO, NÚMERO DE REFERÊNCIA QUÍMICA CAS 57-50-1.</t>
  </si>
  <si>
    <t>419368</t>
  </si>
  <si>
    <t>Frascos de qt esta sendo solicitado. Vou pesquisar pelo que mais encontrei</t>
  </si>
  <si>
    <t>SACAROSE P.A.</t>
  </si>
  <si>
    <t>CATMAT -419368 - SACAROSE, COMPOSIÇÃO QUÍMICA C12H22O11, PESO MOLECULAR 342,29 G/MOL, ASPECTO FÍSICO PÓ BRANCO CRISTALINO, INODORO, REAGENTE P.A. CARACTERÍSTICA ADICIONAL PADRÃO DE REFERÊNCIA ANALÍTICO, NÚMERO DE REFERÊNCIA QUÍMICA CAS 57-50-1.</t>
  </si>
  <si>
    <t>Lauristela</t>
  </si>
  <si>
    <t>https://www.forlabexpress.com.br/sacarose-sucrose-pa-acs-1kg-acs-cientifica/?srsltid=AfmBOopSXW72BqVsuYhvJ2dLg-gbceRfJuaX6caWxNI_u1jJTFwFvwzvKMA</t>
  </si>
  <si>
    <t>https://www.laderquimica.com.br/sacarose-pa-1kg-neon?utm_source=Site&amp;utm_medium=GoogleMerchant&amp;utm_campaign=GoogleMerchant&amp;srsltid=AfmBOooDpFAgwYdK8gCJz-6ArLwJH3ciwB-4_9t8Cjf5cbYnhwUhEQ85Y7E</t>
  </si>
  <si>
    <t>https://www.orionprodutoscientificos.com.br/sacarose-p-a-1000-g-fabricante-neon?utm_source=Site&amp;utm_medium=GoogleMerchant&amp;utm_campaign=GoogleMerchant</t>
  </si>
  <si>
    <t>SANGUE DE CARNEIRO DESFIBRINADO; SUPLEMENTO PARA MEIO DE CULTURA; ASPECTO FÍSICO: LÍQUIDO; CARACTERÍSTICAS ADICIONAIS: ESTÉRIL. FRASCO 50 ML</t>
  </si>
  <si>
    <t>329500</t>
  </si>
  <si>
    <t>SANGUE DE CARNEIRO DESFIBRINADO</t>
  </si>
  <si>
    <t>CATMAT -329500- SANGUE DE CARNEIRO DESFIBRINADO; SUPLEMENTO PARA MEIO DE CULTURA; ASPECTO FÍSICO: LÍQUIDO; CARACTERÍSTICAS ADICIONAIS: ESTÉRIL. FRASCO 50 ML</t>
  </si>
  <si>
    <t xml:space="preserve">[SELENITO DE SÓDIO ANIDRO P.A.] CATMAT 356968 - SELENITO DE SÓDIO, ASPECTO FÍSICO: PÓ GERALMENTE BRANCO, PESO MOLECULAR: 172,94 G/MOL, FÓRMULA QUÍMICA: NA2SEO3, PUREZA MÍNIMA DE 98%, CARACTERÍSTICA ADICIONAL: REAGENTE P.A., NÚMERO DE REFERÊNCIA QUÍMICA: CAS 10102-18-8, ENTREGUE EM FRASCO COM 100 G. ATENÇÃO: OBSERVAR A UNIDADE DE MEDIDA DO SIPAC E COLOCAR MÚLTIPLO DE 100 G.
</t>
  </si>
  <si>
    <t>356968</t>
  </si>
  <si>
    <t>SELENITO DE SÓDIO ANIDRO P.A.</t>
  </si>
  <si>
    <t>SELENITO DE SÓDIO, ASPECTO FÍSICO: PÓ GERALMENTE BRANCO, PESO MOLECULAR: 172,94 G/MOL, FÓRMULA QUÍMICA: NA2SEO3, PUREZA MÍNIMA DE 98%, CARACTERÍSTICA ADICIONAL: REAGENTE P.A., NÚMERO DE REFERÊNCIA QUÍMICA: CAS 10102-18-8, ENTREGUE EM FRASCO COM 100 G. ATENÇÃO: OBSERVAR A UNIDADE DE MEDIDA DO SIPAC E COLOCAR MÚLTIPLO DE 100 G.</t>
  </si>
  <si>
    <t>https://www.labimport.com.br/reagentes/selenito-de-sodio/selenito-de-sodio-anidro-pa-100g</t>
  </si>
  <si>
    <t>https://www.orionprodutoscientificos.com.br/selenito-de-sodio-anidro-p-a-100-g-fabricante-neon?utm_source=Site&amp;utm_medium=GoogleMerchant&amp;utm_campaign=GoogleMerchant</t>
  </si>
  <si>
    <t>https://www.lojaacscientifica.com.br/selenito-de-sodio-anidro-pa?variation=14180534</t>
  </si>
  <si>
    <t xml:space="preserve">[SÍLICA GEL 4 A 8 MM FRASCO COM 500 G] SÍLICA GEL, COMPOSIÇÃO: SIO2, COR: AZUL, ASPECTO FÍSICO: GRANULADO, APLICAÇÃO: DESUMIDIFICAR E DESIDRATAR GASES, CARACTERÍSTICAS ADICIONAIS: INDICADOR DE UMIDADE, TAMANHO GRÃO: 4 A 8 MM, FRASCO COM 500 G
</t>
  </si>
  <si>
    <t>317830</t>
  </si>
  <si>
    <t>SÍLICA GEL 4 A 8 MM FRASCO COM 500 G</t>
  </si>
  <si>
    <t xml:space="preserve">CATMAT -317830- Sílica gel, composição: sio2, cor: azul, aspecto físico: granulado, aplicação: desumidificar e desidratar gases, características adicionais: indicador de umidade, tamanho grão: 4 a 8 mm, P.A. Frasco com 500 g </t>
  </si>
  <si>
    <t>https://www.lojasynth.com/dessecantes/silicas/silica-gel-branca-4-8mm-p-a?parceiro=2827&amp;variant_id=743&amp;gad_source=1&amp;gclid=Cj0KCQjwncWvBhD_ARIsAEb2HW-oYUstljwIYqbqaJ9RC62f4GHuA0Y6TqaXZQKOKYVyXzrTaGxv-AEaAr09EALw_wcB</t>
  </si>
  <si>
    <t>https://www.bclab.com.br/quimicos-reagentes/silicagel-branca-4-8mm-pa-500g-acs-cientifica?gad_source=1&amp;gclid=Cj0KCQjwncWvBhD_ARIsAEb2HW-j2u2b8Kk58XXyXXCdVwHAzrcGnVyjXlbh2KET--dmjAg2BvQRfhgaAo62EALw_wcB</t>
  </si>
  <si>
    <t>https://www.labimport.com.br/reagentes/silicagel/silicagel-azul-4-a-8mm-pa-500g</t>
  </si>
  <si>
    <t>CATMAT -415314- SILICATO DE SÓDIO, ASPECTO FÍSICO: GRÂNULOS BRANCOS, COMPOSIÇÃO QUÍMICA: NA2SIO3.9H2O, PESO MOLECULAR: 284,20 G/MOL, PUREZA MÍNIMA DE 98%, NÚMERO DE REFERÊNCIA QUÍMICA: CAS 13517-24-3. ATENÇÃO: OBSERVAR A UNIDADE DE MEDIDA DO SIPAC E COLOCAR MÚLTIPLO DE 100 G.</t>
  </si>
  <si>
    <t>358604</t>
  </si>
  <si>
    <t>No SIPAC, apesar de terem códigos diferentes, tem a mesma descrição. Não sei definir se são o mesmo material.</t>
  </si>
  <si>
    <t>SILICATO DE SÓDIO (PURO) ANIDRO</t>
  </si>
  <si>
    <t xml:space="preserve"> CATMAT -348972- Silicato de sódio, aspecto físico: pó, cristais ou grânulos brancos, composição química: Na2SiO3 (anidro), peso molecular: 122,06 g/mol, teor mínimo de 50% de SiO2, número de referência química: CAS 6834-92-0, entregue em frasco com 500 g. Atenção: observar a unidade de medida do SIPAC e colocar múltiplo de 500 g. </t>
  </si>
  <si>
    <t>https://www.didaticasp.com.br/silicato-de-sodio-puro-500g</t>
  </si>
  <si>
    <t>https://www.ciruvix.com.br/silicato-de-sodio-puro-500g-dinamica</t>
  </si>
  <si>
    <t>https://www.labimport.com.br/reagentes/silicato-de-sodio/silicato-de-sodio-puro-500g-12255</t>
  </si>
  <si>
    <t>SOLUÇÃO PADRÃO DE CONDUTIVIDADE DE 146,9 ΜS/ CM, 250 ML, VALIDADE 12 MESES</t>
  </si>
  <si>
    <t>SOLUÇÃO PADRÃO DE CONDUTIVIDADE DE 146,9 US/ CM FRASCO 250 ML</t>
  </si>
  <si>
    <t>CATMAT -352190- SOLUÇÃO PADRÃO DE CONDUTIVIDADE DE 146,9 uS/ CM, 250 ML, VALIDADE 12 MESES</t>
  </si>
  <si>
    <t>https://www.lojanetlab.com.br/reagentes-e-meios/calibracao-de-condutivimetro/solucao-padrao-de-condutividade-146-9-us-cm-0-5-a-25-c-0-2-c-250ml-dinamica</t>
  </si>
  <si>
    <t>https://www.lojaprolab.com.br/solucao-padrao-de-condutividade-146-9-%C2%B5s-cm-0-5-a-25-%C2%B0c-0-2-%C2%B0c-frasco-de-250ml-93806</t>
  </si>
  <si>
    <t>https://www.didaticasp.com.br/solucao-padrao-de-condutividade-1469-uscm-250ml-com-certificado-rastreado-nist</t>
  </si>
  <si>
    <t>[PADRÃO PADRÃO COR PLATINA COBALTO 500MG/L FRASCO 500 ML] CATMAT 428230 - SOLUÇÃO PADRÃO, TIPO: DE COR, CONCENTRAÇÃO: 500 PPM, CARACTERÍSTICA ADICIONAL: PT-CO, PADRÃO DE COR APHA 500 UC (500 MG PT-CO/L). FRASCO COM 500 ML.</t>
  </si>
  <si>
    <t>428230</t>
  </si>
  <si>
    <t>SOLUÇÃO PADRÃO DE COR APHA 500 (PLATINA-COBALTO) 500ML</t>
  </si>
  <si>
    <t xml:space="preserve">CATMAT -428230- SOLUÇÃO PADRÃO, TIPO: DE COR, CONCENTRAÇÃO: 500 PPM, CARACTERÍSTICA ADICIONAL: PT-CO, PADRÃO DE COR APHA 500 UC (500 MG PT-CO/L). FRASCO COM 500 ML. </t>
  </si>
  <si>
    <t>[PADRÃO PADRÃO COR PLATINA COBALTO 10MG/L FRASCO 100 ML] CATMAT 429539 - SOLUÇÃO PADRÃO, TIPO: DE COR, CONCENTRAÇÃO: 100 PPM, CARACTERÍSTICA ADICIONAL: PT-CO, PADRÃO DE COR APHA 10 UC (10 MG PT-CO/L).  FRASCO COM 100 ML.</t>
  </si>
  <si>
    <t>429539</t>
  </si>
  <si>
    <t>SOLUÇÃO PADRÃO DE COR APHA 10 (PLATINA-COBALTO) 500ML</t>
  </si>
  <si>
    <t>CATMAT 429539 - SOLUÇÃO PADRÃO, TIPO: DE COR, CONCENTRAÇÃO: 10 PPM, CARACTERÍSTICA ADICIONAL: PT-CO, PADRÃO DE COR APHA 10 UC (10 MG PT-CO/L).  FRASCO COM 500 ML.</t>
  </si>
  <si>
    <t>CATMAT 429540 - SOLUÇÃO PADRÃO, TIPO: DE COR, CONCENTRAÇÃO: 100 PPM, CARACTERÍSTICA ADICIONAL: PT-CO, PADRÃO DE COR APHA 100 UC (100 MG PT-CO/L). FRASCO COM 100 ML.</t>
  </si>
  <si>
    <t>429540</t>
  </si>
  <si>
    <t>SOLUÇÃO PADRÃO DE COR APHA 100 (PLATINA-COBALTO) 500ML</t>
  </si>
  <si>
    <t xml:space="preserve">CATMAT -429540- SOLUÇÃO PADRÃO, TIPO: DE COR, CONCENTRAÇÃO: 100 PPM, CARACTERÍSTICA ADICIONAL: PT-CO, PADRÃO DE COR APHA 100 UC (100 MG PT-CO/L). FRASCO COM 500 ML. </t>
  </si>
  <si>
    <t>https://www.labimport.com.br/reagentes/solucao-padrao-de-cor-apha-100-platino-cobalto-para-espectrometria-e-colorimetria-500ml</t>
  </si>
  <si>
    <t xml:space="preserve">3011000000774 - SOLUÇÃO TAMPÃO, LEITURA PH 10,0, APLICAÇÃO CALIBRAGEM DE PEAGÂMETRO. FRASCO 500ML.
</t>
  </si>
  <si>
    <t>289050</t>
  </si>
  <si>
    <t>SOLUÇÃO TAMPÃO PH 10,0 (BUFFER) FRASCO 500 ML</t>
  </si>
  <si>
    <t xml:space="preserve">CATMAT -289050- Solução tampão, leitura pH 10, aplicação calibragem de peagômetro. em frasco 500 ml. </t>
  </si>
  <si>
    <t>https://www.orionprodutoscientificos.com.br/solucao-tampao-buffer-ph-1000-500ml-exodo-cientifica</t>
  </si>
  <si>
    <t>https://www.google.com.br/search?q=SOLU%C3%87%C3%83O+TAMP%C3%83O+PH+10%2C0+%28BUFFER%29+FRASCO+500+ML&amp;sca_esv=28a9d84c3b887bed&amp;biw=1366&amp;bih=619&amp;tbm=shop&amp;ei=WwfvZbfUDrep1sQPzYic2AI&amp;udm=&amp;ved=0ahUKEwj37f_PqOyEAxW3lJUCHU0EBysQ4dUDCAg&amp;uact=5&amp;oq=SOLU%C3%87%C3%83O+TAMP%C3%83O+PH+10%2C0+%28BUFFER%29+FRASCO+500+ML&amp;gs_lp=Egtwcm9kdWN0cy1jYyIwU09MVcOHw4NPIFRBTVDDg08gUEggMTAsMCAoQlVGRkVSKSBGUkFTQ08gNTAwIE1MSKoaUI0UWI0UcAF4AJABAJgBzgGgAYMDqgEFMC4xLjG4AQPIAQD4AQH4AQKYAgCgAgCoAgCYAwKIBgGSBwCgB4MC&amp;sclient=products-cc#spd=5330502801395502183</t>
  </si>
  <si>
    <t>https://ledsindoor.com.br/solucao-tampao-buffer-ph-10-biotec-500-ml</t>
  </si>
  <si>
    <t>CATMAT -289046- SOLUÇÃO TAMPÃO, LEITURA PH 3,0, APLICAÇÃO CALIBRAGEM DE PEAGÔMETRO, FRASCO COM 500 ML.</t>
  </si>
  <si>
    <t>289046</t>
  </si>
  <si>
    <t>SOLUÇÃO TAMPÃO PH 3,0 (BUFFER) FRASCO 500 ML</t>
  </si>
  <si>
    <t xml:space="preserve">CATMAT -289046- Solução tampão, leitura pH 3,0, aplicação calibragem de peagômetro, frasco com 500 mL. </t>
  </si>
  <si>
    <t>https://www.didaticasp.com.br/solucao-tampao-ph-300-500ml</t>
  </si>
  <si>
    <t>https://www.lojasynth.com/solucoes/solucoes-tampao-e-kcl/solucao-tampao-ph-4-0-buffer</t>
  </si>
  <si>
    <t>https://www.lojaprolab.com.br/tampao-buffer-ph-3-00-80796</t>
  </si>
  <si>
    <t>CATMAT -461991- SOLUÇÃO TAMPÃO, LEITURA PH 4,0, APLICAÇÃO CALIBRAGEM DE PEAGÔMETRO. FRASCO 500 ML.</t>
  </si>
  <si>
    <t>461991</t>
  </si>
  <si>
    <t>SOLUÇÃO TAMPÃO PH 4,0 (BUFFER) FRASCO 500 ML</t>
  </si>
  <si>
    <t xml:space="preserve">CATMAT -461991- Solução tampão, leitura pH 4,0, aplicação calibragem de peagômetro. Frasco 500 mL. </t>
  </si>
  <si>
    <t>https://www.labimport.com.br/reagentes/solucoes/solucao-tampao-buffer-ph-4-00-500ml</t>
  </si>
  <si>
    <t>https://www.quimicenter.com.br/solucao-tampao-buffer-ph-4-00-500ml-dinamica?parceiro=2837&amp;srsltid=AfmBOortBBOXP-bl1DVydoZH1dPnq5jjr6gl8wRtrAo_LAsnElAAYn94Fqo</t>
  </si>
  <si>
    <t>https://www.labimport.com.br/reagentes/solucoes/solucao-tampao-buffer-ph-4-01-500ml-12271</t>
  </si>
  <si>
    <t>CATMAT -234417- SOLUÇÃO TAMPÃO, LEITURA PH 7,0, APLICAÇÃO CALIBRAGEM DE PEAGÔMETRO. FRASCO COM 500 ML</t>
  </si>
  <si>
    <t>234417</t>
  </si>
  <si>
    <t>SOLUÇÃO TAMPÃO PH 7,0 (BUFFER) FOSFATO DISSÓDICO E FOSFATO DE POTÁSSIO MONOBÁSICO FRASCO 500 ML</t>
  </si>
  <si>
    <t>CATMAT -461147- Solução tampão, composição: fosfato dissódico e fosfato de potássio monobásico, potencial hidrogeniônico: ph 7,0. Frasco com 500 mL.</t>
  </si>
  <si>
    <t>https://www.formis.com.br/acessorios/reagentes-e-solucoes/solucao-tampao-buffer-ph-7-00-frasco-de-500ml-dinamica?parceiro=7033</t>
  </si>
  <si>
    <t>https://www.labimport.com.br/reagentes/solucoes/solucao-tampao-buffer-ph-7-00-500ml</t>
  </si>
  <si>
    <t>https://www.quimicenter.com.br/solucao-tampao-buffer-ph-7-00-500ml-dinamica?parceiro=2837&amp;srsltid=AfmBOoqo58Wcah-U1HJBlB5TCfYJGicr7ZgQW0W9X2G8WAwiXFZXaRWj2n4</t>
  </si>
  <si>
    <t>TRIS BIOLOGIA MOLECULAR - TRIS(HIDROXIMETIL)AMINOMETANO, COMPOSIÇÃO QUÍMICA: C4H11NO3, ASPECTO FÍSICO: PÓ BRANCO CRISTALINO, PESO MOLECULAR: 121,14 G,MOL, PUREZA: PUREZA MÍNIMA DE 99,8%, CARACTERÍSTICAS ADICIONAIS: ISENTO DNASE, RNASE, REAGENTE P, BIOLOGIA MOLECULAR, NÚMERO DE REFERÊNCIA QUÍMICA: CAS 77-86-1</t>
  </si>
  <si>
    <t>352972</t>
  </si>
  <si>
    <t>TRIS BASE PARA BIOLOGIA MOLECULAR</t>
  </si>
  <si>
    <t>CATMAT -352972- TRIS(HIDROXIMETIL)AMINOMETANO, COMPOSIÇÃO QUÍMICA:C4H11NO3, ASPECTO FÍSICO:PÓ BRANCO CRISTALINO, PESO MOLECULAR:121,14 G/MOL, PUREZA:PUREZA MÍNIMA DE 99,8%, CARACTERÍSTICAS ADICIONAIS:ISENTO DNASE/RNASE, REAGENTE P/ BIOLOGIA MOLECULAR, NÚMERO DE REFERÊNCIA QUÍMICA:CAS 77-86-1</t>
  </si>
  <si>
    <t>Kg</t>
  </si>
  <si>
    <t>[SUDAN III CI 26100 FRAS] CO 25 GCATMAT -407914- CORANTE, TIPO: SUDAN III, ASPECTO FÍSICO: PÓ, CARACTERÍSTICAS ADICIONAIS: CI 26100, FRASCO COM 25 G.</t>
  </si>
  <si>
    <t>407914</t>
  </si>
  <si>
    <t>SUDAN III CI 26100 FRASCO 25 G</t>
  </si>
  <si>
    <t xml:space="preserve">CATMAT -407914- Corante, tipo: sudan III, aspecto físico: pó, características adicionais: CI 26100, frasco com 25 g. </t>
  </si>
  <si>
    <t>https://www.lojaacscientifica.com.br/sudan-iii-ci26100-embalagem-25g</t>
  </si>
  <si>
    <t>https://www.orionprodutoscientificos.com.br/sudan-iii-c-i-26100-25-g-fabricante-neon</t>
  </si>
  <si>
    <t>https://www.lojalinklab.com.br/sudan-iii-ci-26100-25g-sem-controle</t>
  </si>
  <si>
    <t>[SULFATO DE ALUMÍNIO (14-18)H2O P.A.] CATMAT - 359282- SULFATO DE ALUMÍNIO, ASPECTO FÍSICO: CRISTAL INCOLOR, INODORO, FÓRMULA QUÍMICA: AL2(SO4)3.(14-18)H2O (OCTADECA-HIDRATADO), PUREZA MÍNIMA DE 98%, CARACTERÍSTICA ADICIONAL: REAGENTE P.A., FORNECIMENTO EM FRASCO DE 500 G. ATENÇÃO: OBSERVAR A UNIDADE DE MEDIDA DO SIPAC E COLOCAR MÚLTIPLO DE 500 G.</t>
  </si>
  <si>
    <t>359282</t>
  </si>
  <si>
    <t>SULFATO DE ALUMÍNIO (14-18)H2O P.A.</t>
  </si>
  <si>
    <t xml:space="preserve">CATMAT - 359282- Sulfato de alumínio, aspecto físico: cristal incolor, inodoro, fórmula química: Al2(SO4)3.(14-18)H2O (octadeca-hidratado), pureza mínima de 98%, característica adicional: reagente P.A., Fornecimento em Frasco de 500 g. Atenção: observar a unidade de medida do SIPAC e colocar múltiplo de 500 g. </t>
  </si>
  <si>
    <t>https://www.labimport.com.br/reagentes/sulfato-de-aluminio/sulfato-de-aluminio-14-a-18h2o-pa-500g-12287</t>
  </si>
  <si>
    <t>https://www.orionprodutoscientificos.com.br/sulfato-de-aluminio-14-a-18h2o-pa-1kg-exodo-cientifica</t>
  </si>
  <si>
    <t>[SULFATO DE ALUMÍNIO ANIDRO P.A.] CATMAT -428569- SULFATO DE ALUMÍNIO, ASPECTO FÍSICO: CRISTAL INCOLOR, INODORO, FÓRMULA QUÍMICA: AL2(SO4)3 (ANIDRO), PESO MOLECULAR: 342,14 G/MOL, PUREZA MÍNIMA DE 98%, CARACTERÍSTICA ADICIONAL: REAGENTE P.A., NÚMERO DE REFERÊNCIA QUÍMICA: CAS 10043-01-3 , ENTREGUE EM FRASCO DE 500 G. ATENÇÃO: OBSERVAR A UNIDADE DE MEDIDA DO SIPAC E COLOCAR MÚLTIPLO DE 500 G.</t>
  </si>
  <si>
    <t>428569</t>
  </si>
  <si>
    <t>SULFATO DE ALUMÍNIO ANIDRO P.A.</t>
  </si>
  <si>
    <t xml:space="preserve">CATMAT -428569- Sulfato de alumínio, aspecto físico: cristal incolor, inodoro, fórmula química: Al2(SO4)3 (anidro), peso molecular: 342,14 g/mol, pureza mínima de 98%, característica adicional: reagente p.a., número de referência química: cas 10043-01-3 , entregue em frasco de 500 g. Atenção: observar a unidade de medida do SIPAC e colocar múltiplo de 500 g. </t>
  </si>
  <si>
    <t>https://www.lojaacscientifica.com.br/sulfato-de-aluminio-anidro-pa-embalagem-500g</t>
  </si>
  <si>
    <t>https://www.orionprodutoscientificos.com.br/sulfato-de-aluminio-anidro-pa-500g-exodo-cientifica?utm_source=Site&amp;utm_medium=GoogleMerchant&amp;utm_campaign=GoogleMerchant&amp;gad_source=4&amp;gclid=EAIaIQobChMIutb77qvihAMVOVhIAB28SwDdEAQYASABEgLagPD_BwE</t>
  </si>
  <si>
    <t>CATMAT -357797- SULFATO DE ALUMÍNIO E POTÁSSIO, COMPOSIÇÃO QUÍMICA: ALK(SO4)2.12H2O (DODECAHIDRATADO), PESO MOLECULAR: 474,39 G/MOL, ASPECTO FÍSICO: CRISTAL BRANCO, INODORO, PUREZA MÍNIMA DE 98%, CARACTERÍSTICA ADICIONAL: REAGENTE P.A., NÚMERO DE REFERÊNCIA QUÍMICA: CAS 7784-24-9, ENTREGUE EM FRASCO DE 500G. ATENÇÃO: OBSERVAR A UNIDADE DE MEDIDA DO SIPAC E COLOCAR MÚLTIPLO DE 500 G.</t>
  </si>
  <si>
    <t>357797</t>
  </si>
  <si>
    <t>SULFATO DE ALUMÍNIO E POTÁSSIO 12H2O P.A.</t>
  </si>
  <si>
    <t xml:space="preserve">CATMAT - 357797 Descrição: Sulfato de alumínio e potássio, composição química: KAL(SO4)2.12H2O (dodecaidratado), peso molecular: 474,39 g/mol, aspecto físico: cristal branco, inodoro,pureza mínima de 98%, característica adicional: reagente P.A., número de referência química: CAS 7784-24-9, fornecimento em Frasco de 500 g. Atenção: observar a unidade de medida do SIPAC e colocar múltiplo de 500 g. </t>
  </si>
  <si>
    <t>https://www.lojasynth.com/reagentes-analiticosmaterias-primas/reagentes-analiticosmaterias-primas/sulfato-de-aluminio-e-potassio-12h2o-p-a-embalagem-500g?parceiro=2827&amp;gad_source=4&amp;gclid=EAIaIQobChMIqMeZyKfihAMVjAGtBh3XlgZ-EAQYBiABEgLXj_D_BwE</t>
  </si>
  <si>
    <t>https://www.lojaacscientifica.com.br/sulfato-de-aluminio-e-potassio-12h2o-pa-acs?variation=14180579</t>
  </si>
  <si>
    <t>https://www.labimport.com.br/reagentes/reagente/reagente-p-dqo/sulfato-de-aluminio-e-potassio-12h2o-pa-acs-500g-conc-99-dens-1-75</t>
  </si>
  <si>
    <t>[SULFATO DE AMÔNIO ANIDRO P.A.] CATMAT - 452977 - SULFATO DE AMÔNIO, COMPOSIÇÃO:(NH4)2S04, MASSA MOLAR:132,14 G/MOL, ASPECTO FÍSICO: FINOS CRISTAIS OU GRÂNULOS BRANCOS, ODOR DE AMÔNIA, GRAU DE PUREZA: PUREZA MÍNIMA DE 99%, CARACTERÍSTICA ADICIONAL: REAGENTE P.A. ACS ISO, NÚMERO DE REFERÊNCIA QUÍMICA: CAS 7783-20-2. ENTREGUE EM FRASCOS DE 500 G.</t>
  </si>
  <si>
    <t>SULFATO DE AMÔNIO ANIDRO P.A</t>
  </si>
  <si>
    <t xml:space="preserve">CATMAT -452977- Sulfato de amônio, composição (NH4)2SO4, peso molecular 132,14 g/mol, aspectos físicos finos cristais ou grânulos brancos, odor de amônia, pureza mínima de 99%, característica adicional reagente P.A., número de referência química CAS 7783-20-2. fornecimento em frasco com 500 g. Atenção: observar a unidade de medida do SIPAC e colocar múltiplo de 500 g. </t>
  </si>
  <si>
    <t>https://www.labimport.com.br/reagentes/sulfato-de-amonio/sulfato-de-amonio-pa-500g-12291</t>
  </si>
  <si>
    <t>Êxodo Cientifica</t>
  </si>
  <si>
    <t>https://www.lojasynth.com/reagentes-analiticosmaterias-primas/reagentes-analiticosmaterias-primas/sulfato-de-amonio-p-a?parceiro=2827&amp;variant_id=303732&amp;srsltid=AfmBOorjUmwSaBjPcfeTW3eT6SVA-vLGnRkA8_Z9fh9o48LmTaBfbPHbegM</t>
  </si>
  <si>
    <t>https://www.orionprodutoscientificos.com.br/sulfato-de-amonio-p-a-500-g-fabricante-neon</t>
  </si>
  <si>
    <t>CATMAT -374814 - SULFATO DE CÁLCIO, ASPECTO FÍSICO PÓ GRANULAR BRANCO, INODORO, PESO MOLECULAR 172,17 G/MOL, FÓRMULA QUÍMICA CASO4.2H2O (DI-HIDRATADO), CARACTERÍSTICA ADICIONAL PRECIPITADO, REAGENTE P.A., TEOR DE PUREZA MÍNIMA DE 98%, NÚMERO DE REFERÊNCIA QUÍMICA: CAS 10101-41-4. FORNECIMENTO EM FRASCO DE 500 G. ATENÇÃO: OBSERVAR A UNIDADE DE MEDIDA DO SIPAC E COLOCAR MÚLTIPLO DE 500 G.</t>
  </si>
  <si>
    <t>374814</t>
  </si>
  <si>
    <t>SULFATO DE CÁLCIO (2H2O) P.A.</t>
  </si>
  <si>
    <t xml:space="preserve">CATMAT -374814 - Sulfato de cálcio, aspecto físico pó granular branco, inodoro, peso molecular 172,17 g/mol, fórmula química CaSO4.2H2O (di-hidratado), característica adicional precipitado, reagente P.A., teor de pureza mínima de 98%, número de referência química: CAS 10101-41-4. Fornecimento em Frasco de 500 g. Atenção: observar a unidade de medida do SIPAC e colocar múltiplo de 500 g. </t>
  </si>
  <si>
    <t>https://www.laderquimica.com.br/sulfato-de-calcio-2h2o-pa-acs-500gr-dinamica?utm_source=Site&amp;utm_medium=GoogleShopping&amp;utm_campaign=GooglePMax&amp;srsltid=AfmBOoq1HQgX2-bvauHtAACmDChIiQP4rAyY2wv4H6KH6bh8PqrsDtuCvV8</t>
  </si>
  <si>
    <t>https://www.labimport.com.br/reagentes/cloreto-de-calcio/cloreto-de-calcio-2h2o-pa-500g-11813</t>
  </si>
  <si>
    <t>https://www.lojaacscientifica.com.br/sulfato-de-calcio-2h2o-pa</t>
  </si>
  <si>
    <t>[SULFATO DE COBRE II ICO (5H2O) P.A.] CATMAT -345770- SULFATO DE COBRE II, COMPOSIÇÃO QUÍMICA CUSO4.5H2O, ASPECTO FÍSICO FINO CRISTAL AZUL, PESO DA MOLÉCULA 249,68 G/MOL, PUREZA MÍNIMA DE 99%, CARACTERÍSTICA ADICIONAL REAGENTE P.A., NÚMERO DE REFERÊNCIA QUÍMICA CAS 7758-99-8. FORNECIMENTO EM FRASCO DE 500 G. ATENÇÃO: OBSERVAR A UNIDADE DE MEDIDA DO SIPAC E COLOCAR MÚLTIPLO DE 500 G.</t>
  </si>
  <si>
    <t>345770</t>
  </si>
  <si>
    <t>SULFATO DE COBRE II ICO (5H2O) P.A.</t>
  </si>
  <si>
    <t xml:space="preserve">CATMAT -345770- Sulfato de cobre II, composição química CuSO4.5H2O, aspecto físico fino cristal azul, peso da molécula 249,68 g/mol, pureza mínima de 99%, característica adicional reagente P.A., número de referência química CAS 7758-99-8. fornecimento em frasco de 500 g. Atenção: observar a unidade de medida do SIPAC e colocar múltiplo de 500 g. </t>
  </si>
  <si>
    <t>https://www.labimport.com.br/reagentes/sulfato-de-cobre/sulfato-de-cobre-ii-ico-5h2o-pa-500gr-conc-98-dens-2-28</t>
  </si>
  <si>
    <t>https://www.laderquimica.com.br/sulfato-de-cobre-ii-ico-5h2o-pa-acs-500g-dinamica?utm_source=Site&amp;utm_medium=GoogleMerchant&amp;utm_campaign=GoogleMerchant&amp;srsltid=AfmBOooFKmhIjVIJiC1k4Fq7OcGhFZo7BnlbDbRSW9-FzL1EoT1aYphi8Iw</t>
  </si>
  <si>
    <t>https://www.orionprodutoscientificos.com.br/sulfato-de-cobre-ii-ico-5h2o-pa-500g-exodo-cientifica?utm_source=Site&amp;utm_medium=GoogleMerchant&amp;utm_campaign=GoogleMerchant</t>
  </si>
  <si>
    <t>CATMAT -419647- SULFATO DE ESTREPTOMICINA - ESTREPTOMICINA COMPOSIÇÃO QUÍMICA: SULFATO DE ESTREPTOMICINA , FÓRMULA QUÍMICA*: C21H39N7O12. 1,5 H2SO4 , ASPECTO FÍSICO*: PÓ BRANCO OU QUASE BRANCO , MASSA MOLAR: 728,69 G/MOL, POTÊNCIA: 650 A 850 MCG/MG , NÚMERO DE REFERÊNCIA QUÍMICA*: CAS 3810-74-0, ENTREGUE EM FRASCO DE 25 G. ATENÇÃO: OBSERVAR A UNIDADE DE MEDIDA DO SIPAC E COLOCAR MÚLTIPLO DE 25 G.</t>
  </si>
  <si>
    <t>419647</t>
  </si>
  <si>
    <t>SULFATO DE ESTREPTOMICINA</t>
  </si>
  <si>
    <t>https://www.lojalinklab.com.br/sulfato-de-estreptomicina-25g-sem-controle?parceiro=1142</t>
  </si>
  <si>
    <t>https://www.orionprodutoscientificos.com.br/sulfato-de-estreptomicina-purex-25g-exodo-cientifica</t>
  </si>
  <si>
    <t>https://www.lojaacscientifica.com.br/sulfato-de-estreptomicina-purex</t>
  </si>
  <si>
    <t>CATMAT -437244- SULFATO DE FERRO II, ASPECTO FÍSICO: PÓ, COMPOSIÇÃO QUÍMICA: FESO4.7H2O (SULFATO DE FERRO II HEPTAHIDRATADO), PESO MOLECULAR: 278,01 G,MOL, GRAU DE PUREZA: PUREZA MÍNIMA DE 99%, CARACTERÍSTICA ADICIONAL: REAGENTE P.A., NÚMERO DE REFERÊNCIA QUÍMICA: CAS 7782-63-0. FORNECIMENTO EM FRASCO DE 500 G. ATENÇÃO: OBSERVAR A UNIDADE DE MEDIDA DO SIPAC E COLOCAR MÚLTIPLO DE 500 G.</t>
  </si>
  <si>
    <t>437244</t>
  </si>
  <si>
    <t>SULFATO DE FERRO II (OSO) (7H2O) P.A.</t>
  </si>
  <si>
    <t xml:space="preserve">CATMAT -437244- SULFATO DE FERRO II, ASPECTO FÍSICO: PÓ, COMPOSIÇÃO QUÍMICA: FESO4.7H2O (SULFATO DE FERRO II HEPTAHIDRATADO), PESO MOLECULAR: 278,01 G,MOL, GRAU DE PUREZA: PUREZA MÍNIMA DE 99%, CARACTERÍSTICA ADICIONAL: REAGENTE P.A., NÚMERO DE REFERÊNCIA QUÍMICA: CAS 7782-63-0. Fornecimento em Frasco de 500 g. Atenção: observar a unidade de medida do SIPAC e colocar múltiplo de 500 g. </t>
  </si>
  <si>
    <t>https://www.lojasynth.com/reagentes-analiticosmaterias-primas/reagentes-analiticosmaterias-primas/sulfato-de-ferro-oso-7h2o-p-a-a-c-s?variant_id=301011&amp;parceiro=2827&amp;gad_source=4&amp;gclid=CjwKCAiAxaCvBhBaEiwAvsLmWL7wTQfkQCCS3ZiLRLu5YMvzl-QtIyVAoMYpo6ocef9YParwWrhDSRoCcjAQAvD_BwE</t>
  </si>
  <si>
    <t>https://www.labimport.com.br/reagentes/sulfato-de-ferro/sulfato-de-ferro-ii-oso-7h2o-pa-500g</t>
  </si>
  <si>
    <t>https://www.orionprodutoscientificos.com.br/sulfato-de-ferro-ii-oso7-h2o-pa-500g-exodo-cientifica?utm_source=Site&amp;utm_medium=GoogleMerchant&amp;utm_campaign=GoogleMerchant</t>
  </si>
  <si>
    <t>CATMAT -359946- SULFATO DE FERRO II E AMÔNIO (SULFATO FERROSO AMONIACAL), ASPECTO FÍSICO CRISTAIS VERDES, PESO MOLECULAR 392,14, FÓRMULA QUÍMICA FE(NH4)2(SO4)2.6H2O, PUREZA MÍNIMO DE 99 %, CARACTERÍSTICA ADICIONAL REAGENTE P.A., NÚMERO DE REFERÊNCIA QUÍMICA CAS 7783-85-9. FORNECIMENTO EM FRASCO DE 500 G. ATENÇÃO: OBSERVAR A UNIDADE DE MEDIDA DO SIPAC E COLOCAR MÚLTIPLO DE 500.</t>
  </si>
  <si>
    <t>359946</t>
  </si>
  <si>
    <t>SULFATO DE FERRO II (OSO) E AMÔNIA (6H2O) P.A. (SULFATO FERROSO AMONIACAL)</t>
  </si>
  <si>
    <t xml:space="preserve">CATMAT -359946- Sulfato de ferro II e amônio (sulfato ferroso amoniacal), aspecto físico cristais verdes, peso molecular 392,14, fórmula química Fe(NH4)2(SO4)2.6H2O, pureza mínimo de 99 %, característica adicional reagente P.A., número de referência química CAS 7783-85-9. Fornecimento em frasco de 500 g. Atenção: observar a unidade de medida do SIPAC e colocar múltiplo de 500. </t>
  </si>
  <si>
    <t>https://www.lojasynth.com/reagentes-analiticosmaterias-primas/reagentes-analiticosmaterias-primas/sulfato-de-ferro-oso-amoniacal-6h2o-p-a-a-c-s?parceiro=2827&amp;srsltid=AfmBOoqqXGb16T8psYYskJJdx7lszbDf41qWfczyUjF7fT-eCrBqp1lrM4o&amp;variant_id=301927</t>
  </si>
  <si>
    <t>https://www.lojaacscientifica.com.br/sulfato-de-ferro-ii-oso-e-amonio6-h2oferroso-amoniacal-pa?variation=14180637</t>
  </si>
  <si>
    <t>https://www.labimport.com.br/reagentes/sulfato-de-ferro/sulfato-de-ferro-ii-oso-e-amonio-6h2o-500g</t>
  </si>
  <si>
    <t xml:space="preserve">[SULFATO DE MAGNÉSIO (7H2O) P.A.] CATMAT - 445557 - SULFATO DE MAGNÉSIO HEPTAHIDRATADO, ASPECTO FÍSICO: CRISTAL INCOLOR, BRILHANTE, INODORO, AMARGO, FÓRMULA QUÍMICA: MGSO4.7H2O, MASSA MOLAR: 246,48 G/MOL, TEOR DE PUREZA: PUREZA MÍNIMA DE 98%, CARACTERÍSTICA ADICIONAL: REAGENTE P.A., NÚMERO DE REFERÊNCIA QUÍMICA: CAS 10034-99-8. ENTREGUE EM FRASCOS DE 500 G.
</t>
  </si>
  <si>
    <t>445557</t>
  </si>
  <si>
    <t>SULFATO DE MAGNÉSIO (7H2O) P.A.</t>
  </si>
  <si>
    <t xml:space="preserve">CATMAT -445557- Sulfato de magnésio, aspecto físico: cristal incolor, brilhante, inodoro, amargo, fórmula química: mgSO4.7H2O, massa molecular: 246,48 g/mol, pureza mínima de 98%, característica adicional: reagente P.A., número de referência química: CAS 10034-99-8, entregue em frasco de 500 g. Atenção: observar a unidade de medida do SIPAC e colocar múltiplo de 500 g. </t>
  </si>
  <si>
    <t>https://www.labimport.com.br/reagentes/sulfato-de-magnesio/sulfato-de-magnesio-7h2o-pa-500g</t>
  </si>
  <si>
    <t>https://quimisulsc.com.br/produto/sulfato-de-magnesio-pa-7h2o-500g/?srsltid=AfmBOor759xdVXKEEyiLdA3EIHO6uBT-S5j90UV-by_XkTh5P0LdPbHTDAo</t>
  </si>
  <si>
    <t>https://www.orionprodutoscientificos.com.br/sulfato-de-magnesio-7h2o-pa-500gr-exodo-cientifica?utm_source=Site&amp;utm_medium=GoogleMerchant&amp;utm_campaign=GoogleMerchant</t>
  </si>
  <si>
    <t>[SULFATO DE MAGNESIO ANIDRO P.A.] CATMAT -381057- SULFATO DE MAGNÉSIO, ASPECTO FÍSICO: CRISTAL INCOLOR, BRILHANTE, INODORO, AMARGO, FÓRMULA QUÍMICA: MGSO4 ANIDRO, MASSA MOLECULAR: 120,37 G/MOL, PUREZA MÍNIMA DE 98%, CARACTERÍSTICA ADICIONAL: REAGENTE P.A., NÚMERO DE REFERÊNCIA QUÍMICA: CAS 7487-88-9. FORNECIMENTO EM FRASCO DE 1000 G. ATENÇÃO: OBSERVAR A UNIDADE DE MEDIDA DO SIPAC E COLOCAR MÚLTIPLO DE 1000 G.</t>
  </si>
  <si>
    <t>381057</t>
  </si>
  <si>
    <t>SULFATO DE MAGNESIO ANIDRO P.A.</t>
  </si>
  <si>
    <t xml:space="preserve">CATMAT -381057- Sulfato de magnésio, aspecto físico: cristal incolor, brilhante, inodoro, amargo, fórmula química: MgSO4 anidro, massa molecular: 120,37 g/mol, pureza mínima de 98%, característica adicional: reagente P.A., número de referência química: CAS 7487-88-9. Fornecimento em Frasco de 1000 g. Atenção: observar a unidade de medida do SIPAC e colocar múltiplo de 1000 g. </t>
  </si>
  <si>
    <t>https://www.lojaacscientifica.com.br/sulfato-de-magnesio-anidro-pa?variation=14180666</t>
  </si>
  <si>
    <t>https://www.orionprodutoscientificos.com.br/sulfato-de-magnesio-anidro-pa-1kg-exodo-cientifica?utm_source=Site&amp;utm_medium=GoogleMerchant&amp;utm_campaign=GoogleMerchant</t>
  </si>
  <si>
    <t>https://www.labimport.com.br/reagentes/sulfato-de-magnesio/sulfato-de-magnesio-anidro-pa-1kg</t>
  </si>
  <si>
    <t xml:space="preserve">[SULFATO DE MANGANÊS (H2O) P.A.] SULFATO DE MANGANÊS, PESO MOLECULAR 169,02 G/MOL, ASPECTO FÍSICO PÓ FINO, ROSA PÁLIDO, HIGROSCÓPICO, FÓRMULA QUÍMICA MNSO4.H2O (MONO-HIDRATADO) P.A., NÚMERO DE REFERÊNCIA QUÍMICA CAS 10034-96-5. FORNECIMENTO EM FRASCO DE 500 G. ATENÇÃO: OBSERVAR A UNIDADE DE MEDIDA DO SIPAC E COLOCAR MÚLTIPLO DE 500 G.
</t>
  </si>
  <si>
    <t>382506</t>
  </si>
  <si>
    <t>Nome dever ser o sulfato de manganes e não magnésio</t>
  </si>
  <si>
    <t>SULFATO DE MANGANÊS (H2O) P.A.</t>
  </si>
  <si>
    <t xml:space="preserve">CATMAT -382506- Sulfato de manganês, peso molecular 169,02 g/mol, aspecto físico pó fino, rosa pálido, higroscópico, fórmula química MnSO4.H2O (mono-hidratado) P.A., número de referência química CAS 10034-96-5. fornecimento em frasco de 500 g. Atenção: observar a unidade de medida do SIPAC e colocar múltiplo de 500 g. </t>
  </si>
  <si>
    <t>https://www.ciruvix.com.br/sulfato-de-manganes-oso-1h2o-pa-acs-500g-dinamica</t>
  </si>
  <si>
    <t>https://www.lojaacscientifica.com.br/sulfato-de-manganes-ii-oso-1h2o-pa?variation=14180687</t>
  </si>
  <si>
    <t>https://www.lojasynth.com/reagentes-analiticosmaterias-primas/reagentes-analiticosmaterias-primas/sulfato-de-manganes-oso-h2o-p-a?parceiro=2827&amp;variant_id=301555&amp;srsltid=AfmBOop111pfV3vnPXt1k9Ok1ElK-loBU8_FR2ZLdsyHPhUsKEspygaqP_0</t>
  </si>
  <si>
    <t>[SULFATO DE MERCÚRIO II ICO P.A.] CATMAT -376981- SULFATO DE MERCÚRIO II, COMPOSIÇÃO QUÍMICA HGSO4, ASPECTO FÍSICO PÓ CRISTALINO, PESO MOLECULAR 296,65, GRAU DE PUREZA MÍNIMO DE 98%, CARACTERÍSTICA ADICIONAL REAGENTE P.A., NÚMERO DE REFERÊNCIA QUÍMICA CAS 7783-35-9. ENTREGUE EM FRASCO DE 100 G. ATENÇÃO: OBSERVAR A UNIDADE DE MEDIDA DO SIPAC E COLOCAR MÚLTIPLO DE 100 G.</t>
  </si>
  <si>
    <t>376981</t>
  </si>
  <si>
    <t>SULFATO DE MERCÚRIO II ICO P.A.</t>
  </si>
  <si>
    <t xml:space="preserve">CATMAT -376981- sulfato de mercúrio ii, composição química hgso4, aspecto físico pó cristalino, peso molecular 296,65, grau de pureza mínimo de 98%, característica adicional reagente p.a., número de referência química cas 7783-35-9. entregue em frasco de 100 g. Atenção: observar a unidade de medida do SIPAC e colocar múltiplo de 100 g. </t>
  </si>
  <si>
    <t>https://www.labimport.com.br/reagentes/sulfato-de-mercurio/sulfato-de-mercurio-ii-ico-98-pa-acs-100g-12323</t>
  </si>
  <si>
    <t>https://www.lojaacscientifica.com.br/sulfato-de-mercurio-ii-ico-98-pa-acs?variation=14180701</t>
  </si>
  <si>
    <t>https://www.orionprodutoscientificos.com.br/sulfato-de-mercurio-ii-ico-98-pa-acs-100g-exodo-cientifica</t>
  </si>
  <si>
    <t>[SULFATO DE POTÁSSIO P.A. ACS] CATMAT -357866- SULFATO DE POTÁSSIO, PESO MOLECULAR: 174,26 G/MOL, ASPECTO FÍSICO: CRISTAIS BRANCOS, INODOROS, FÓRMULA QUÍMICA: K2SO4, PUREZA MÍNIMA DE 99%, CARACTERÍSTICA ADICIONAL: REAGENTE P.A. ACS, NÚMERO DE REFERÊNCIA QUÍMICA: CAS 7778-80-5</t>
  </si>
  <si>
    <t>357866</t>
  </si>
  <si>
    <t>SULFATO DE POTÁSSIO P.A. ACS</t>
  </si>
  <si>
    <t xml:space="preserve">CATMAT -357866- Sulfato de potássio, peso molecular: 174,26 g/mol, aspecto físico: cristais brancos, inodoros, fórmula química: K2SO4, pureza mínima de 99%, característica adicional: reagente P.A. ACS, número de referência química: CAS 7778-80-5 </t>
  </si>
  <si>
    <t>https://www.labimport.com.br/reagentes/sulfato-de-potassio/sulfato-de-potassio-pa-acs-1kg-12327</t>
  </si>
  <si>
    <t>https://www.lojaacscientifica.com.br/sulfato-de-potassio-pa-acs?variation=14180734</t>
  </si>
  <si>
    <t>https://www.lojasynth.com/reagentes-analiticosmaterias-primas/reagentes-analiticosmaterias-primas/sulfato-de-potassio-anidro-p-a-a-c-s?parceiro=2827&amp;srsltid=AfmBOorIwAU2kZAGxL6J0vuiMtp8fMymLIjrPv287kt3pXN7NcfOUSnDGJU&amp;variant_id=302661</t>
  </si>
  <si>
    <t>[SULFATO DE PRATA P.A.] CATMAT -359287- SULFATO DE PRATA, ASPECTO FÍSICO: CRISTAL BRANCO, INODORO, PESO MOLECULAR: 311,83 G/MOL, COMPOSIÇÃO QUÍMICA: AG2SO4, PUREZA MÍNIMA DE 98%, CARACTERÍSTICA ADICIONAL: REAGENTE P.A., NÚMERO DE REFERÊNCIA QUÍMICA: CAS 10294-26-5. ENTREGUE EM FRASCOS COM 25 G. ATENÇÃO: OBSERVAR A UNIDADE DE MEDIDA DO SIPAC E COLOCAR MÚLTIPLO DE 25 G.</t>
  </si>
  <si>
    <t>359287</t>
  </si>
  <si>
    <t>SULFATO DE PRATA P.A.</t>
  </si>
  <si>
    <t xml:space="preserve">CATMAT -359287- Sulfato de prata, aspecto físico: cristal branco, inodoro, peso molecular: 311,83 g/mol, composição química: Ag2SO4, pureza mínima de 98%, característica adicional: reagente P.A., número de referência química: CAS 10294-26-5. Entregue em frascos com 25 g. Atenção: observar a unidade de medida do SIPAC e colocar múltiplo de 25 g. </t>
  </si>
  <si>
    <t>https://www.forlabexpress.com.br/sulfato-de-prata-pa-acs-25g-acs-cientifica/?srsltid=AfmBOooJhdMbIrRKRS9KcaJkjSIkm1nxtMIu1dncpZsvah7EFnmXXWWi2Qw</t>
  </si>
  <si>
    <t>https://www.orionprodutoscientificos.com.br/sulfato-de-prata-pa-acs-25g-exodo-cientifica</t>
  </si>
  <si>
    <t>https://www.lojaacscientifica.com.br/sulfato-de-prata-pa-acs?variation=14180746</t>
  </si>
  <si>
    <t>[SULFATO DE SODIO ANIDRO PA-ACS 1000G] CATMAT -352843- SULFATO DE SÓDIO, ASPECTOS FÍSICOS FINOS GRÂNULOS BRANCOS CRISTALINOS, INODOROS, PESO MOLECULAR 142,04 G/MOL, FÓRMULA QUÍMICA NA2SO4 ANIDRO, PUREZA MÍNIMA DE 99%, CARACTERÍSTICA ADICIONAL REAGENTE P.A., NÚMERO DE REFERÊNCIA QUÍMICA CAS 7757-82-6. ENTREGUE EM FRASCOS DE 1000. ATENÇÃO: OBSERVAR A UNIDADE DE MEDIDA DO SIPAC E COLOCAR MÚLTIPLO DE 1000 G.</t>
  </si>
  <si>
    <t>SULFATO DE SÓDIO ANIDRO P.A.</t>
  </si>
  <si>
    <t>CATMAT -352843- SULFATO DE SÓDIO, ASPECTOS FÍSICOS FINOS GRÂNULOS BRANCOS CRISTALINOS, INODOROS, PESO MOLECULAR 142,04 G/MOL, FÓRMULA QUÍMICA NA2SO4 ANIDRO, PUREZA MÍNIMA DE 99%, CARACTERÍSTICA ADICIONAL REAGENTE P.A., NÚMERO DE REFERÊNCIA QUÍMICA CAS 7757-82-6. ENTREGUE EM FRASCOS DE 1000. ATENÇÃO: OBSERVAR A UNIDADE DE MEDIDA DO SIPAC E COLOCAR MÚLTIPLO DE 1000 G.</t>
  </si>
  <si>
    <t>https://www.laderquimica.com.br/sulfato-de-sodio-anidro-pa-1kg-dinamica?utm_source=Site&amp;utm_medium=GoogleMerchant&amp;utm_campaign=GoogleMerchant&amp;srsltid=AfmBOoqNT2m3VgAZ2C8vJkfD8JDJhQXXdiLr7pSt1eCcvcyymqTOI1Of50c</t>
  </si>
  <si>
    <t>https://www.lojaacscientifica.com.br/sulfato-de-sodio-anidro-pa-acs?variation=14180797</t>
  </si>
  <si>
    <t>https://www.labimport.com.br/reagentes/sulfato-de-sodio/sulfato-de-sodio-anidro-pa-acs-1000g</t>
  </si>
  <si>
    <t>[SULFATO DE ZINCO (7H2O) P.A. ACS] CATMAT - 346778 SULFATO DE ZINCO, ASPECTO FÍSICO: PÓ OU CRISTAL, INCOLOR OU BRANCO, FÓRMULA QUÍMICA: ZNSO4.7H2O, MASSA MOLECULAR: 287,56 G/MOL, PUREZA MÍNIMA DE 99%, CARACTERÍSTICA ADICIONAL: REAGENTE P.A. ACS, NÚMERO DE REFERÊNCIA QUÍMICA: CAS 7446-20-0, ENTREGUE EM FRASCOS DE 500 G. ATENÇÃO: OBSERVAR A UNIDADE DE MEDIDA DO SIPAC E COLOCAR MÚLTIPLO DE 500 G.</t>
  </si>
  <si>
    <t>346778</t>
  </si>
  <si>
    <t>SULFATO DE ZINCO (7H2O) P.A. ACS</t>
  </si>
  <si>
    <t xml:space="preserve">CATMAT - 346778 Sulfato de zinco, aspecto físico: pó ou cristal, incolor ou branco, fórmula química: ZnSO4.7H2O, massa molecular: 287,56 g/mol, pureza mínima de 99%, característica adicional: reagente P.A. ACS, número de referência química: CAS 7446-20-0, entregue em frascos de 500 g. Atenção: observar a unidade de medida do SIPAC e colocar múltiplo de 500 g. </t>
  </si>
  <si>
    <t>https://www.lojasynth.com/reagentes-analiticosmaterias-primas/reagentes-analiticosmaterias-primas/sulfato-de-zinco-7h2o-p-a-a-c-s?variant_id=302639&amp;parceiro=2827&amp;srsltid=AfmBOoqFFE5tjzWMXDabAc8jzAyWOVDjhhzyBQXvcoSa1yZsd--ALxLWXNw</t>
  </si>
  <si>
    <t>https://www.lojaacscientifica.com.br/sulfato-de-zinco-7h2o-heptahidratado-pa-acs</t>
  </si>
  <si>
    <t>https://www.ciruvix.com.br/sulfato-de-zinco-7h2o-pa-acs-500gr-synth</t>
  </si>
  <si>
    <t>CATMAT -360413- SULFETO DE AMÔNIO ASPECTO FÍSICO: LÍQUIDO LEVEMENTE AMARELADO, DE ODOR PODRE , PESO MOLECULAR: 68,15 G/MOL, FÓRMULA QUÍMICA: (NH4)2.S , NÚMERO DE REFERÊNCIA QUÍMICA: CAS 12135-76-1. ENTREGUE EM FRASCO DE VIDRO AMBAR.</t>
  </si>
  <si>
    <t>360413</t>
  </si>
  <si>
    <t>SULFETO DE AMÔNIO SATURADO</t>
  </si>
  <si>
    <t xml:space="preserve">CATMAT -360413- Sulfeto De Amônio Aspecto Físico: Líquido Levemente Amarelado, De Odor Podre , Peso Molecular: 68,15 G/MOL, Fórmula Química: (NH4)2.S , Número De Referência Química: CAS 12135-76-1. Entregue em frasco de vidro ambar. </t>
  </si>
  <si>
    <t>https://www.lojaacscientifica.com.br/sulfeto-de-amonio-saturado-embalagem-1l</t>
  </si>
  <si>
    <t>https://www.orionprodutoscientificos.com.br/sulfeto-de-amonio-saturado-1l-exodo-cientifica?utm_source=Site&amp;utm_medium=GoogleMerchant&amp;utm_campaign=GoogleMerchant</t>
  </si>
  <si>
    <t>[SULFETO DE SÓDIO (9H2O) P.A.]CATMAT -382558- SULFETO DE SÓDIO, ASPECTO FÍSICO: CRISTAL OU FLOCO, BRANCO A AMARELADO, ODOR PODRE, PESO MOLECULAR: 240,18 G/MOL, FÓRMULA QUÍMICA: NA2S.9H2O (NONA-HIDRATADO), PUREZA MÍNIMA DE 98%, CARACTERÍSTICA ADICIONAL: REAGENTE P.A., NÚMERO DE REFERÊNCIA QUÍMICA: CAS 1313-84-4. ENTREGUE EM FRASCO DE 100 G. ATENÇÃO: OBSERVAR A UNIDADE DE MEDIDA DO SIPAC E COLOCAR MÚLTIPLO DE 100 G.</t>
  </si>
  <si>
    <t>382558</t>
  </si>
  <si>
    <t>SULFETO DE SÓDIO (9H2O) P.A.</t>
  </si>
  <si>
    <t xml:space="preserve">CATMAT -382558- Sulfeto de sódio, aspecto físico: cristal ou floco, branco a amarelado, odor podre, peso molecular: 240,18 g/mol, fórmula química: Na2S.9H2O (nona-hidratado), pureza mínima de 98%, característica adicional: reagente P.A., número de referência química: CAS 1313-84-4. Entregue em frasco de 100 g. Atenção: observar a unidade de medida do SIPAC e colocar múltiplo de 100 g. </t>
  </si>
  <si>
    <t>https://www.lojalinklab.com.br/sulfeto-de-sodio-9h2o-pa-acs-100g-controle-eb-e-pc?parceiro=1142</t>
  </si>
  <si>
    <t>[SULFITO DE SÓDIO ANIDRO P.A.] CATMAT - 360465- SULFITO DE SÓDIO, ASPECTO FÍSICO PÓ CRISTALINO OU GRANULADO BRANCO, FÓRMULA QUÍMICA NA2SO3 (ANIDRO), PESO MOLECULAR 126,04 G/MOL, GRAU DE PUREZA PUREZA MÍNIMA DE 98%, CARACTERÍSTICA ADICIONAL REAGENTE P.A., NÚMERO DE REFERÊNCIA QUÍMICA CAS 7757-83-7. ENTREGUE EM FRASCOS DE 500 G.</t>
  </si>
  <si>
    <t>360465</t>
  </si>
  <si>
    <t>SULFITO DE SÓDIO ANIDRO P.A.</t>
  </si>
  <si>
    <t xml:space="preserve">CATMAT -360465- Sulfito de sódio, aspecto físico pó cristalino ou granulado branco, fórmula química Na2SO3 (anidro), peso molecular 126,04 g/mol, pureza mínima de 98%, característica adicional reagente P.A., número de referência química CAS 7757-83-7. Entregue em frascos de 500 g. Atenção: observar a unidade de medida do SIPAC e colocar múltiplo de 500 g. </t>
  </si>
  <si>
    <t>https://www.labimport.com.br/reagentes/sulfato-de-sodio/sulfito-de-sodio-anidro-pa-500g-12355</t>
  </si>
  <si>
    <t>https://www.lojaacscientifica.com.br/sulfito-de-sodio-anidro-pa</t>
  </si>
  <si>
    <t>https://www.orionprodutoscientificos.com.br/sulfito-de-sodio-anidro-pa-500g-exodo-cientifica?utm_source=Site&amp;utm_medium=GoogleMerchant&amp;utm_campaign=GoogleMerchant</t>
  </si>
  <si>
    <t>SUPLEMENTO PARA MEIO DE CULTURA, TIPO:EXTRATO DE MALTE, ASPECTO FÍSICO:PÓ. SUBSTÂNCIAS PARA DIAGNÓSTICO "IN VITRO",  REAGENTES,  CONJUNTOS E JOGOS PARA TESTE. FRASCO DE 1KG</t>
  </si>
  <si>
    <t>338834</t>
  </si>
  <si>
    <t>Cadastrar</t>
  </si>
  <si>
    <t>EXTRATO DE MALTE 500 G</t>
  </si>
  <si>
    <t>CATMAT -338834- SUPLEMENTO PARA MEIO DE CULTURA, TIPO:EXTRATO DE MALTE, ASPECTO FÍSICO:PÓ. FRASCO 500 G</t>
  </si>
  <si>
    <t>TAQ DNA POLIMERASE RECOMBINANTE (TAMPÃO E MGCL2 INCLUSOS) - TUBOS DE 500 UNIDADES</t>
  </si>
  <si>
    <t>328507</t>
  </si>
  <si>
    <t>TAQ DNA POLIMERASE 500U 0,5 ML</t>
  </si>
  <si>
    <t>CATMAT -328507- ENZIMA, TIPO:TAQ DNA POLIMERASE RECOMBINANTE, ASPECTO FÍSICO:LÍQUIDO, CONCENTRAÇÃO:5.000 UI/ML, COMPONENTES ADICIONAIS:TAMPÃO REAÇÃO 10X COM MGCL2. FRASCO 0,5 ML</t>
  </si>
  <si>
    <t xml:space="preserve">TARTARATO DE SÓDIO E POTÁSSIO (4H2O) P.A.  CATMAT - 348685 - TARTARATO DE SÓDIO E POTÁSSIO, PESO MOLECULAR:282,22 G/MOL, ASPECTO FÍSICO:PÓ BRANCO OU CRISTAL INCOLOR, INODORO, FÓRMULA QUÍMICA:NAKC4H4O6.4H2O, GRAU DE PUREZA:PUREZA MÍNIMA DE 99%, CARACTERÍSTICA ADICIONAL:REAGENTE P.A, NÚMERO DE REFERÊNCIA QUÍMICA:CAS 6381-59-5. VENDIDO EM "KG".
</t>
  </si>
  <si>
    <t>348685</t>
  </si>
  <si>
    <t>TARTARATO DE SÓDIO E POTÁSSIO (4H2O) P.A.</t>
  </si>
  <si>
    <t xml:space="preserve">CATMAT - 348685- Tartarato de sódio e potássio, peso molecular: 282,22 g/mol, aspecto físico: pó branco ou cristal incolor, inodoro, fórmula química: NaKC4H4O6.4H2O, pureza mínima de 99%, característica adicional: reagente P.A., número de referência química: CAS 6381-59-5. Entregue em frascos de 500 g. Atenção: observar a unidade de medida do SIPAC e colocar múltiplo de 500 g. </t>
  </si>
  <si>
    <t>https://www.lojasynth.com/reagentes-analiticosmaterias-primas/reagentes-analiticosmaterias-primas/tartarato-de-sodio-e-potassio-4h2o-p-a?variant_id=301574&amp;parceiro=2827&amp;gad_source=4&amp;gclid=CjwKCAiAxaCvBhBaEiwAvsLmWGq80SLfTkhfeUrl2RnrOZLxm1qWzcto65bn_EFDkiSbYZuNS5SH6RoCTzMQAvD_BwE</t>
  </si>
  <si>
    <t>https://www.lojaacscientifica.com.br/tartarato-de-sodio-e-potassio-4h2o-pa-acs</t>
  </si>
  <si>
    <t>https://www.orionprodutoscientificos.com.br/tartarato-de-sodio-e-potassio-4h2o-pa-acs-500g-exodo-cientifica?utm_source=Site&amp;utm_medium=GoogleMerchant&amp;utm_campaign=GoogleMerchant</t>
  </si>
  <si>
    <t xml:space="preserve">TETRABORATO DE SÓDIO (10H2O) P.A. ACS BORAX  CATMAT -366478- TETRABORATO DE SÓDIO, PESO MOLECULAR: 381,37 G/MOL, ASPECTO FÍSICO: PÓ BRANCO, CRISTALINO, INODORO, FÓRMULA QUÍMICA: NA2B4O7.10H2O (DECA-HIDRATADO), PUREZA MÍNIMA DE 99,5%, CARACTERÍSTICA ADICIONAL: REAGENTE P.A. ACS, NÚMERO DE REFERÊNCIA QUÍMICA: CAS 1303-96-4. ENTREGUE EM FRASCOS DE 500 G. ATENÇÃO: OBSERVAR A UNIDADE DE MEDIDA DO SIPAC E COLOCAR MÚLTIPLO DE 500 G.
</t>
  </si>
  <si>
    <t>TETRABORATO DE SÓDIO (10H2O) P.A. ACS BORAX</t>
  </si>
  <si>
    <t>CATMAT -366478- TETRABORATO DE SÓDIO, PESO MOLECULAR: 381,37 G/MOL, ASPECTO FÍSICO: PÓ BRANCO, CRISTALINO, INODORO, FÓRMULA QUÍMICA: NA2B4O7.10H2O (DECA-HIDRATADO), PUREZA MÍNIMA DE 99,5%, CARACTERÍSTICA ADICIONAL: REAGENTE P.A. ACS, NÚMERO DE REFERÊNCIA QUÍMICA: CAS 1303-96-4. ENTREGUE EM FRASCOS DE 500 G. ATENÇÃO: OBSERVAR A UNIDADE DE MEDIDA DO SIPAC E COLOCAR MÚLTIPLO DE 500 G.</t>
  </si>
  <si>
    <t>https://www.labimport.com.br/reagentes/tiossulfato-de-sodio/tetraborato-de-sodio-10h2o-pa-borax-500g</t>
  </si>
  <si>
    <t>https://www.laderquimica.com.br/ph0jpkqq4-tetraborato-de-sodio-10h2o-pa-500gdinamica?utm_source=Site&amp;utm_medium=GoogleMerchant&amp;utm_campaign=GoogleMerchant&amp;srsltid=AfmBOoo6B_CituSRozu5VjR-8AHlnivp1vXDmsX8aIL8PUoBn7akSJx75Eg</t>
  </si>
  <si>
    <t>https://www.orionprodutoscientificos.com.br/tetraborato-de-sodio-10h2o-pa-borax-500g-exodo-cientifica?utm_source=Site&amp;utm_medium=GoogleMerchant&amp;utm_campaign=GoogleMerchant</t>
  </si>
  <si>
    <t>CATMAT -374920- TETRACLORETO DE CARBONO, ASPECTO FÍSICO LÍQUIDO LÍMPIDO, INCOLOR, CHEIRO DOCE CARACTERÍSTICO, PESO MOLECULAR 153,82 G/MOL, FÓRMULA QUÍMICA CCL4, PUREZA MÍNIMA DE 99,5%, CARACTERÍSTICA ADICIONAL REAGENTE P.A., NÚMERO DE REFERÊNCIA QUÍMICA CAS 56-23-5.</t>
  </si>
  <si>
    <t>374920</t>
  </si>
  <si>
    <t>TETRACLORETO DE CARBONO P.A.</t>
  </si>
  <si>
    <t xml:space="preserve">CATMAT -374920- Tetracloreto de carbono, aspecto físico líquido límpido, incolor, cheiro doce característico, peso molecular 153,82 g/mol, fórmula química CCl4, pureza mínima de 99,5%, característica adicional reagente P.A., número de referência química CAS 56-23-5. Entregue em frasco de vidro ambar. </t>
  </si>
  <si>
    <t>https://www.labimport.com.br/reagentes/solucoes/solucao-tcc-1000ml-tetracloreto-de-carbono</t>
  </si>
  <si>
    <t>[TIMOL PURO] CATMAT -382043- TIMOL, ASPECTO FÍSICO: PÓ CRISTALINO INCOLOR A ESBRANQUIÇADO, FÓRMULA QUÍMICA: C10H14O, PESO MOLECULAR: 150,22 G/MOL, PUREZA MÍNIMA DE 99%, NÚMERO DE REFERÊNCIA QUÍMICA: CAS 89-83-8. ENTREGUE EM FRASCOS COM 100 G. ATENÇÃO: OBSERVAR A UNIDADE DE MEDIDA DO SIPAC E COLOCAR MÚLTIPLO DE 100 G.</t>
  </si>
  <si>
    <t>382043</t>
  </si>
  <si>
    <t>TIMOL PURO</t>
  </si>
  <si>
    <t>CATMAT -382043. TIMOL, ASPECTO FÍSICO: PÓ CRISTALINO INCOLOR A ESBRANQUIÇADO, FÓRMULA QUÍMICA: C10H14O, PESO MOLECULAR: 150,22 G/MOL, PUREZA MÍNIMA DE 99%, NÚMERO DE REFERÊNCIA QUÍMICA: CAS 89-83-8. ENTREGUE EM FRASCOS COM 100 G. ATENÇÃO: OBSERVAR A UNIDADE DE MEDIDA DO SIPAC E COLOCAR MÚLTIPLO DE 100 G.</t>
  </si>
  <si>
    <t>https://www.lojaacscientifica.com.br/timol-puro-embalagem-100g</t>
  </si>
  <si>
    <t>https://quimisulsc.com.br/produto/timol/?srsltid=AfmBOoo0v8yGtYmPVxrs40yYxsvFQZY9X2pfckW5Uga0eeF6A9SbRiLTAIA</t>
  </si>
  <si>
    <t>https://www.orionprodutoscientificos.com.br/produto/timol-puro-100g-exodo-cientifica.html?utm_source=Site&amp;utm_medium=GoogleMerchant&amp;utm_campaign=GoogleMerchant</t>
  </si>
  <si>
    <t>[TIOACETAMIDA (TAA) P.A. ACS] CATMAT -371031- TIOACETAMIDA (TAA), ASPECTO FÍSICO: CRISTAL INCOLOR A ESBRANQUIÇADO, FÓRMULA QUÍMICA:C2H5NS, PESO MOLECULAR: 75,13 G/MOL, PUREZA MÍNIMA DE 99%, REAGENTE P.A. ACS, NÚMERO DE REFERÊNCIA QUÍMICA: CAS 62-55-5, ENTREGUE EM FRASCOS DE 50 G. ATENÇÃO: OBSERVAR A UNIDADE DE MEDIDA DO SIPAC E COLOCAR MÚLTIPLO DE 50 G.</t>
  </si>
  <si>
    <t>371031</t>
  </si>
  <si>
    <t xml:space="preserve">TIOACETAMIDA (TAA) P.A. ACS </t>
  </si>
  <si>
    <t xml:space="preserve">CATMAT -371031- Tioacetamida (TAA), aspecto físico: cristal incolor a esbranquiçado, fórmula química:C2H5NS, peso molecular: 75,13 g/mol, pureza mínima de 99%, reagente P.A. ACS, número de referência química: CAS 62-55-5, entregue em frascos de 50 g. Atenção: observar a unidade de medida do SIPAC e colocar múltiplo de 50 g. </t>
  </si>
  <si>
    <t>https://www.lojaacscientifica.com.br/tioacetamida-pa-acs?variation=14181136</t>
  </si>
  <si>
    <t>https://www.orionprodutoscientificos.com.br/tioacetamida-p-a-acs-50-g-fabricante-neon</t>
  </si>
  <si>
    <t xml:space="preserve">[TIOCIANATO DE AMÔNIO 99% P.A.] TIOCIANATO DE AMÔNIO, ASPECTO FÍSICO: CRISTAL INCOLOR, HIGROSCÓPICO, ODOR DE AMÔNIA, FÓRMULA QUÍMICA: NH4SCN, PESO MOLECULAR: 76,12 G/MOL, PUREZA MÍNIMA DE 97,5%, CARACTERÍSTICA ADICIONAL: REAGENTE P.A., NÚMERO DE REFERÊNCIA QUÍMICA: CAS 1762-95-4. ENTREGUE EM FRASCOS DE 500 G. ATENÇÃO: OBSERVAR A UNIDADE DE MEDIDA DO SIPAC E COLOCAR MÚLTIPLO DE 500 G.
</t>
  </si>
  <si>
    <t>375132</t>
  </si>
  <si>
    <t>TIOCIANATO DE AMÔNIO P.A. ACS</t>
  </si>
  <si>
    <t>CATMAT -375132- Tiocianato de amônio, aspecto físico: cristal incolor, higroscópico, odor de amônia, fórmula química: NH4SCN, peso molecular: 76,12 g/mol, pureza mínima de 97,5%, característica adicional: reagente P.A. ACS, número de referência química: CAS 1762-95-4. Entregue em frascos de 500 g. Atenção: observar a unidade de medida do SIPAC e colocar múltiplo de 500 g.</t>
  </si>
  <si>
    <t>https://www.lojaacscientifica.com.br/tiocianato-de-amonio-pa-acs-embalagem-500g</t>
  </si>
  <si>
    <t>https://www.orionprodutoscientificos.com.br/tiocianato-de-amonio-pa-500g-exodo-cientifica?utm_source=Site&amp;utm_medium=GoogleMerchant&amp;utm_campaign=GoogleMerchant</t>
  </si>
  <si>
    <t>https://www.labimport.com.br/reagentes/tiocianato-de-amonio-pa-500g-conc-97-5-dens-1-30</t>
  </si>
  <si>
    <t xml:space="preserve">[TIOCIANATO DE POTÁSSIO P.A.] CATMAT -381272- TIOCIANATO DE POTÁSSIO, ASPECTO FÍSICO CRISTAIS INCOLORES, INODOROS, HIGROSCÓPICOS, COMPOSIÇÃO KSCN, PESO MOLECULAR 97,18 G/MOL, PUREZA MÍNIMA DE 98%, CARACTERÍSTICA ADICIONAL REAGENTE P.A., NÚMERO DE REFERÊNCIA QUÍMICA: CAS 333-20-0, ENTREGUE EM FRASCOS DE 500 G. ATENÇÃO: OBSERVAR A UNIDADE DE MEDIDA DO SIPAC E COLOCAR MÚLTIPLO DE 500 G.
</t>
  </si>
  <si>
    <t>381272</t>
  </si>
  <si>
    <t>TIOCIANATO DE POTÁSSIO P.A.</t>
  </si>
  <si>
    <t xml:space="preserve">CATMAT -381272- Tiocianato de potássio, aspecto físico cristais incolores, inodoros, higroscópicos, composição KSCN, peso molecular 97,18 g/mol, pureza mínima de 98%, característica adicional reagente P.A., número de referência química: CAS 333-20-0, entregue em frascos de 500 g. Atenção: observar a unidade de medida do SIPAC e colocar múltiplo de 500 g. </t>
  </si>
  <si>
    <t>https://www.ludwigbiotec.com.br/product-page/tiocianato-de-pot%C3%A1ssio-p-a-1-000-g</t>
  </si>
  <si>
    <t>https://quimisulsc.com.br/produto/tiocianato-de-potassio-p-a/?srsltid=AfmBOoreAgr2_Gztng-VM6ynP5LyxA239CEcn2TJlMX5MLQX8Hi29HHhOEY</t>
  </si>
  <si>
    <t>https://www.lojaacscientifica.com.br/tiocianato-de-potassio-pa-acs-embalagem-500g</t>
  </si>
  <si>
    <t xml:space="preserve">[TIOSSULFATO DE SÓDIO P.A/ACS 99,5%] CATMAT - 347747 - TIOSSULFATO DE SÓDIO, ASPECTO FÍSICO: CRISTAL INCOLOR OU BRANCO, INODORO, FÓRMULA QUÍMICA: NA2S2O3.5H2O, MASSA MOLAR: 248,18 G/MOL, GRAU DE PUREZA: PUREZA MÍNIMA DE 99,5%, CARACTERÍSTICA ADICIONAL: REAGENTE P.A. ACS, NÚMERO DE REFERÊNCIA QUÍMICA: CAS 10102-17-7. ENTREGUE EM FRASCOS DE 500 G. VENDIDO EM "G".
</t>
  </si>
  <si>
    <t>347747</t>
  </si>
  <si>
    <t>TIOSSULFATO DE SÓDIO (5H2O) P.A. ACS</t>
  </si>
  <si>
    <t xml:space="preserve">CATMAT - 366490 Tiossulfato de sódio, aspecto físico cristal incolor ou branco, inodoro, fórmula química Na2S2O3.5H2O, peso molecular 248,18 g/mol, pureza mínima de 99,5%, característica adicional reagente P.A. ACS, número de referência química CAS 10102-17-7. Entregue em frasco de 500 g. Atenção: observar a unidade de medida do SIPAC e colocar múltiplo de 500 g. </t>
  </si>
  <si>
    <t>https://www.labimport.com.br/reagentes/tiossulfato-de-sodio/tiossulfato-de-sodio-5h2o-pa-acs-500g</t>
  </si>
  <si>
    <t>https://www.lojasynth.com/reagentes-analiticosmaterias-primas/reagentes-analiticosmaterias-primas/tiossulfato-de-sodio-5h2o-p-a-a-c-s?variant_id=759&amp;parceiro=2827&amp;srsltid=AfmBOopiKneL5kz9iGSYVcJdoW4pUVT0hV3-EZ7nqVN2P4wuxFDOPpz4d-o</t>
  </si>
  <si>
    <t>https://www.laderquimica.com.br/tiossulfato-de-sodio-5h2o-pa-acs-1kg-neon?utm_source=Site&amp;utm_medium=GoogleShopping&amp;utm_campaign=GooglePMax&amp;srsltid=AfmBOoqT4-EgqqOPrhGUGxd_U1SJ-8wSbu37NKv3tuFktJlc1Ez_1RB4gK0</t>
  </si>
  <si>
    <t>[TOLUENO (TOLUOL) P.A.] CATMAT -380337- TOLUENO, ASPECTO FÍSICO: LÍQUIDO INCOLOR, ODOR CARACTERÍSTICO DE BENZENO, COMPOSIÇÃO QUÍMICA: C7H8, PESO MOLECULAR: 92,14 G,MOL, TEOR DE PUREZA: PUREZA MÍNIMA DE 99,5%, CARACTERÍSTICA ADICIONAL: REAGENTE P.A., NÚMERO DE REFERÊNCIA QUÍMICA: CAS 108-88-3. ENTREGUE EM FRASCOS DE 1L.</t>
  </si>
  <si>
    <t>380337</t>
  </si>
  <si>
    <t>TOLUENO (TOLUOL) P.A.</t>
  </si>
  <si>
    <t xml:space="preserve">CATMAT -380337- Tolueno, aspecto físico: líquido incolor, odor característico de benzeno, composição química: C6H5CH3, peso molecular: 92,14 g,mol, pureza mínima de 99,5%, característica adicional: reagente P.A., número de referência química: CAS 108-88-3. Entregue em frasco de vidro ambar. </t>
  </si>
  <si>
    <t>https://www.lojalinklab.com.br/tolueno-toluol-pa-acs-1l-controle-pc-e-pf?parceiro=1142</t>
  </si>
  <si>
    <t>https://www.didaticasp.com.br/tolueno-toluol-pa-1l-pfssp</t>
  </si>
  <si>
    <t>[TRIETILENOGLICOL PURO] CATMAT -374769- TRIETILENOGLICOL, ASPECTO FÍSICO: LÍQUIDO LÍMPIDO, INCOLOR, INODORO, PESO MOLECULAR: 150,17 G/MOL, FÓRMULA QUÍMICA: C6H14O4, PUREZA MÍNIMA DE 99%, NÚMERO DE REFERÊNCIA QUÍMICA: CAS 112-27-6</t>
  </si>
  <si>
    <t>374769</t>
  </si>
  <si>
    <t>TRIETILENOGLICOL PURO</t>
  </si>
  <si>
    <t xml:space="preserve">CATMAT -374769- Trietilenoglicol, aspecto físico: líquido límpido, incolor, inodoro, peso molecular: 150,17 g/mol, fórmula química: C6H14O4, pureza mínima de 99%, número de referência química: CAS 112-27-6. Entregue em frasco de vidro ambar. </t>
  </si>
  <si>
    <t>https://www.lojaprolab.com.br/trietilenoglicol-puro-79849</t>
  </si>
  <si>
    <t>https://www.orionprodutoscientificos.com.br/trietilenoglicol-puro-1-litro-exodo-cientifica</t>
  </si>
  <si>
    <t>https://www.lojaerdobrasil.com.br/fraction-x/trietilenoglicol-1l-garrafa-quimio?parceiro=1659</t>
  </si>
  <si>
    <t>[TRIFENIL TETRAZOLIO CLORETO 2,3,5 P.A.] CATMAT - 378141 - TRIFENILTETRAZÓLIO, ASPECTO FÍSICO: PÓ BRANCO, LEVEMENTE AMARELADO, FÓRMULA QUÍMICA: C19H15CLN4 (TRIFENIL TETRAZÓLIO CLORETO 2,3,5), PESO MOLECULAR: 334,81 G/MOL, PUREZA MÍNIMA DE 98%, NÚMERO DE REFERÊNCIA QUÍMICA: CAS 298-96-4. ENTREGUE EM FRASCOS COM 10 G. ATENÇÃO: OBSERVAR A UNIDADE DE MEDIDA DO SIPAC E COLOCAR MÚLTIPLO DE 10 G.</t>
  </si>
  <si>
    <t>378141</t>
  </si>
  <si>
    <t>3 aumentada 30</t>
  </si>
  <si>
    <t>TRIFENIL TETRAZOLIO CLORETO 2,3,5 P.A.</t>
  </si>
  <si>
    <t>CATMAT - 378141 - TRIFENILTETRAZÓLIO, ASPECTO FÍSICO: PÓ BRANCO, LEVEMENTE AMARELADO, FÓRMULA QUÍMICA: C19H15CLN4 (TRIFENIL TETRAZÓLIO CLORETO 2,3,5), PESO MOLECULAR: 334,81 G/MOL, PUREZA MÍNIMA DE 98%, NÚMERO DE REFERÊNCIA QUÍMICA: CAS 298-96-4. ENTREGUE EM FRASCOS COM 10 G. ATENÇÃO: OBSERVAR A UNIDADE DE MEDIDA DO SIPAC E COLOCAR MÚLTIPLO DE 10 G.</t>
  </si>
  <si>
    <t>https://www.orionprodutoscientificos.com.br/cloreto-de-235-trifenil-tetrazolio-10-g-fabricante-neon</t>
  </si>
  <si>
    <t>https://www.lojalinklab.com.br/cloreto-de-trifeniltetrazolio-2-3-5-10g-sem-controle?parceiro=1142</t>
  </si>
  <si>
    <t>https://www.labimport.com.br/reagentes/cloreto-de-trifenil-tetrazolio/cloreto-de-2-3-5-trifenil-tetrazolio-10g</t>
  </si>
  <si>
    <t>CATMAT - 410910 -   SOLUÇÃO TAMPÃO, TIPO:TRIS-HCL, CONCENTRAÇÃO:0,5 M, POTENCIAL HIDROGENIÔNICO:PH 6,8. VENDIDO EM "KG".</t>
  </si>
  <si>
    <t>TRIS-HCL PARA BIOLOGIA MOLECULAR</t>
  </si>
  <si>
    <t>CATMAT -357777- TRIS(HIDROXIMETIL)AMINOMETANO, COMPOSIÇÃO QUÍMICA:C4H11NO3.HCL (SAL HIDROCLORETO), ASPECTO FÍSICO:CRISTAL INCOLOLR, TRANSPARENTE, INODORO, PESO MOLECULAR:157,59 G/MOL, PUREZA:PUREZA MÍNIMA DE 99%, CARACTERÍSTICAS ADICIONAIS:ISENTO DNASE/RNASE, REAGENTE P/ BIOLOGIA MOLECULAR, NÚMERO DE REFERÊNCIA QUÍMICA:CAS 1185-53-1</t>
  </si>
  <si>
    <t>CATMAT -359223- URÉIA, ASPECTO FÍSICO PÓ INCOLOR A ESBRANQUIÇADO, CRISTALINO, PESO MOLECULAR 60,06 G/MOL, FÓRMULA QUÍMICA CH4N2O, PUREZA MÍNIMA DE 98%, CARACTERÍSTICA ADICIONAL REAGENTE P.A., NÚMERO DE REFERÊNCIA QUÍMICA: CAS 57-13-6, ENTREGUE EM FRASCOS DE 500 G. ATENÇÃO: OBSERVAR A UNIDADE DE MEDIDA DO SIPAC E COLOCAR MÚLTIPLO DE 500 G.</t>
  </si>
  <si>
    <t>359223</t>
  </si>
  <si>
    <t>URÉIA P.A.</t>
  </si>
  <si>
    <t>CATMAT -359223 - URÉIA, ASPECTO FÍSICO PÓ INCOLOR A ESBRANQUIÇADO, CRISTALINO, PESO MOLECULAR 60,06 G/MOL, FÓRMULA QUÍMICA CH4N2O, PUREZA MÍNIMA DE 98%, CARACTERÍSTICA ADICIONAL REAGENTE P.A., NÚMERO DE REFERÊNCIA QUÍMICA: CAS 57-13-6, ENTREGUE EM FRASCOS DE 500 G. ATENÇÃO: OBSERVAR A UNIDADE DE MEDIDA DO SIPAC E COLOCAR MÚLTIPLO DE 500 G.</t>
  </si>
  <si>
    <t>https://www.lojaacscientifica.com.br/ureia-carbamida-pa-acs?variation=14181293</t>
  </si>
  <si>
    <t>https://www.lojasynth.com/reagentes-analiticosmaterias-primas/reagentes-analiticosmaterias-primas/ureia-p-a-a-c-s?variant_id=307994&amp;parceiro=2827&amp;gad_source=4&amp;gclid=CjwKCAiAxaCvBhBaEiwAvsLmWGPcB0d8JAWtC0wV2tvXrZgvCHnKgM8mWk_z0UQoh-W7RLsN2tJi0xoCuIwQAvD_BwE</t>
  </si>
  <si>
    <t>https://quimisulsc.com.br/produto/ureia-p-a/?srsltid=AfmBOoosFOFuTvDs1YHU64nqXNsHQXvdAQBO13o7h3Jg-4waZktKJ5haFbI</t>
  </si>
  <si>
    <t>VERDE BROMOCRESOL P.A. FRASCO 5G CATMAT -327508- CORANTE, TIPO: VERDE BROMOCRESOL, ASPECTO FÍSICO: PÓ, REAGENTE P.A., CAS: 76-60-8, FRASCO DE 5G</t>
  </si>
  <si>
    <t>327508</t>
  </si>
  <si>
    <t>VERDE BROMOCRESOL P.A. FRASCO 5G</t>
  </si>
  <si>
    <t>CATMAT -327508- CORANTE, TIPO: VERDE BROMOCRESOL, ASPECTO FÍSICO: PÓ, REAGENTE P.A., CAS: 76-60-8, FRASCO DE 5G</t>
  </si>
  <si>
    <t>https://www.orionprodutoscientificos.com.br/verde-bromocresol-pa-5g-exodo-cientifica?utm_source=Site&amp;utm_medium=GoogleMerchant&amp;utm_campaign=GoogleMerchant</t>
  </si>
  <si>
    <t>https://www.lojaacscientifica.com.br/verde-bromocresol-pa?variation=14181312</t>
  </si>
  <si>
    <t>https://www.labimport.com.br/reagentes/verde-bromocresol/verde-bromocresol-pa-5g-12405</t>
  </si>
  <si>
    <t xml:space="preserve">VERMELHO DE ALIZARINA S. </t>
  </si>
  <si>
    <t>VERMELHO DE ALIZARINA S</t>
  </si>
  <si>
    <t>CATMAT -327506- VERMELHO DE ALIZARINA S P.A. (SINÔNIMOS: ALIZARIN RED S. ALIZARINA SÓDICA), CORANTE, ASPECTO FÍSICO: PÓ, CI. 58005, NÚMERO DE REFERÊNCIA QUÍMICA: CAS130-22-3, FRACOS COM 25 G.</t>
  </si>
  <si>
    <t>https://www.lojanetlab.com.br/reagentes/pa/alizarina-sodica-ci-58005-vermelho-de-alizarina</t>
  </si>
  <si>
    <t>https://www.interjet.com.br/alizarina-sodica-ci-58005-25-g</t>
  </si>
  <si>
    <t>https://www.orionprodutoscientificos.com.br/alizarina-sodica-c-i-58005-25-g-fabricante-neon</t>
  </si>
  <si>
    <t>VERMELHO DE METILA P.A. ACS FRASCO 25 G</t>
  </si>
  <si>
    <t>374994</t>
  </si>
  <si>
    <t>CATMAT -374994- CORANTE, ASPECTO FÍSICO:PÓ, TIPO: VERMELHO DE METILA, P.A. ACS, NÚMERO DE REFERÊNCIA QUÍMICA: CI 13020, FRASCO DE 25 G.</t>
  </si>
  <si>
    <t>38.438.085/0001-67</t>
  </si>
  <si>
    <t>https://www.labimport.com.br/reagentes/vermelho-de-metila/vermelho-de-metila-pa-acs-25g-15095</t>
  </si>
  <si>
    <t>https://www.lojanetlab.com.br/reagentes/pa/vermelho-de-metila-pa-acs-ci-13020-25g</t>
  </si>
  <si>
    <t>https://www.forlabexpress.com.br/vermelho-de-metila-pa-ci-13020-25g-acs-cientifica/</t>
  </si>
  <si>
    <t>ÊXODO CIENTÍFICA</t>
  </si>
  <si>
    <t>VIOLETA DE GENCIANA, COMPOSIÇÃO SOLUÇÃO À 1%, APRESENTAÇÃO USO TÓPICO</t>
  </si>
  <si>
    <t>273593</t>
  </si>
  <si>
    <t>VIOLETA DE GENCIANA 1% FRASCO 1000 ML</t>
  </si>
  <si>
    <t>CATMAT -273593- VIOLETA DE GENCIANA, COMPOSIÇÃO SOLUÇÃO À 1%, APRESENTAÇÃO USO TÓPICO, FORNECIDO EM FRASCOS DE 1 L</t>
  </si>
  <si>
    <t>XILENO P.A. ACS ESPECIFICAÇÃO: XILENO, ASPECTO FÍSICO LÍQUIDO LÍMPIDO, INCOLOR, INFLAMÁVEL,PESO MOLECULAR 106,17, FÓRMULA QUÍMICA C6H4(CH3)2 - MISTURA DE ISÔMEROS ORTO, PARA E META, PUREZA MÍNIMA DE 98%, CARACTERÍSTICA ADICIONAL REAGENTE P.A. ACS, NÚMERO DE REFERÊNCIA QUÍMICA CAS 1330-20-7. ENTREGUE EM FRASCO DE VIDRO AMBAR.</t>
  </si>
  <si>
    <t>346185</t>
  </si>
  <si>
    <t>XILENO P.A. ACS</t>
  </si>
  <si>
    <t xml:space="preserve">CATMAT -346185- Xileno, aspecto físico líquido límpido, incolor, inflamável, peso molecular 106,17, fórmula química C6H4(CH3)2 - mistura de isômeros orto, para e meta, pureza mínima de 98%, característica adicional reagente P.A. ACS, número de referência química CAS 1330-20-7. Entregue em frasco de vidro ambar. </t>
  </si>
  <si>
    <t>QUIMISUL SC BRASIL LTDA</t>
  </si>
  <si>
    <t>https://www.orionprodutoscientificos.com.br/xilol-especial-p-histologia-1l-exodo-cientifica?utm_source=Site&amp;utm_medium=GoogleMerchant&amp;utm_campaign=GoogleMerchant&amp;gad_source=4&amp;gclid=CjwKCAiAxaCvBhBaEiwAvsLmWIHUoLa0m-FzIwdZ5lEhApsbsDew7BQcc9_RWtW7k_-DIFQjrdXYIBoCICcQAvD_BwE</t>
  </si>
  <si>
    <t>3.767.262/0001-28</t>
  </si>
  <si>
    <t>https://www.lojaacscientifica.com.br/xilol-pa-acs?variation=14183548</t>
  </si>
  <si>
    <t>Acs Cientifica Quimica Fina Especializada Ltda.</t>
  </si>
  <si>
    <t>24.788.909/0001-14</t>
  </si>
  <si>
    <t>https://quimisulsc.com.br/produto/xilol-p-a/?srsltid=AfmBOorR-3b0-RPew6u4c3l2UIjBPjk8ri6em_01g14o5-73TC5n8T53TqU</t>
  </si>
  <si>
    <t>DINÂMICA</t>
  </si>
  <si>
    <t xml:space="preserve">[ZINCO GRANULADO 99,8%] ZINCO, ASPECTO FÍSICO: GRÂNULOS BRANCO-AZULADOS OU CINZA PRATA, INODOROS, FÓRMULA QUÍMICA: ZN, PESO MOLECULAR: 65,38 G,MOL, GRAU DE PUREZA: PUREZA MÍNIMA DE 99,8%, CARACTERÍSTICA ADICIONAL: REAGENTE P.A., NÚMERO DE REFERÊNCIA QUÍMICA: CAS 7440-66-6. ENTREGUE EM FRASCO DE 500 G. ATENÇÃO: OBSERVAR A UNIDADE DE MEDIDA DO SIPAC E COLOCAR MÚLTIPLO DE 500 G.
</t>
  </si>
  <si>
    <t>347685</t>
  </si>
  <si>
    <t>ZINCO GRANULADO (20 MESH) P.A.</t>
  </si>
  <si>
    <t>CATMAT -347685- Zinco, aspecto físico: grânulos branco-azulados ou cinza prata, inodoros, fórmula química: zn, peso molecular: 65,38 g,mol, grau de pureza: pureza mínima de 99,8%, característica adicional: reagente p.a., número de referência química: cas 7440-66-6. Entregue em frasco de 500 g. Atenção: observar a unidade de medida do SIPAC e colocar múltiplo de 500 g.</t>
  </si>
  <si>
    <t>LABSYNTH PRODUTOS PARA LABORATORIOS LTDA</t>
  </si>
  <si>
    <t>Zinco Granulado 20 Mesh P.A. 500 g Fabricante Neon - orionprodutoscientificos</t>
  </si>
  <si>
    <t>NEON</t>
  </si>
  <si>
    <t>https://www.lojaacscientifica.com.br/zinco-granulado-20-mesh-999-pa?variation=14181684</t>
  </si>
  <si>
    <t xml:space="preserve"> 51.462.471/0001-52</t>
  </si>
  <si>
    <t>https://www.labimport.com.br/reagentes/zinco/zinco-granulado-20-mesh-pa-500g-12425</t>
  </si>
  <si>
    <t>CATMAT -339048- AZOCASEÍNA (SINÔNIMO: SULFANILAMIDA-AZOCASEÍNA), ASPECTO FÍSICO: PÓ. FRASCO DE 1 GRAMA. CAS 102110-74-7</t>
  </si>
  <si>
    <t>339048</t>
  </si>
  <si>
    <t>Remover da planilha. Produto exclusivo Sigma-Aldrich</t>
  </si>
  <si>
    <t>SEM COTAÇÕES</t>
  </si>
  <si>
    <t>AZOCASEÍNA (SULFANILAMIDA-AZOCASEÍNA)</t>
  </si>
  <si>
    <t>CATMAT -339048- AZOCASEÍNA (Sinônimo: Sulfanilamida-Azocaseína), ASPECTO FÍSICO: PÓ. FRASCO DE 1 GRAMA. CAS 102110-74-7</t>
  </si>
  <si>
    <t>https://www.sigmaaldrich.com/BR/pt/substance/azocasein12345102110747</t>
  </si>
  <si>
    <t xml:space="preserve">BIIODATO DE POTÁSSIO, ASPECTO FÍSICO: PÓ BRANCO CRISTALINO, FÓRMULA QUÍMICA: KH(IO3)2, MASSA MOLAR: 389,91 G/MOL, GRAU DE PUREZA: PUREZA MÍNIMA DE 99,8%, CARACTERÍSTICA ADICIONAL: REAGENTE P.A., NÚMERO DE REFERÊNCIA QUÍMICA: CAS 13455-24-8. ENTREGUE EM FRASCOS DE 100 G.
</t>
  </si>
  <si>
    <t>391722</t>
  </si>
  <si>
    <t>Removido por falta de cotação</t>
  </si>
  <si>
    <t>BIODATO ÁCIDO DE POTÁSSIO P.A.</t>
  </si>
  <si>
    <t>CATMAT -391722- Biiodato de potássio, aspecto físico: pó branco cristalino, fórmula química: KH(IO3)2, peso molecular: 389,91 g/mol, pureza mínima de 99,8%, característica adicional: reagente P.A., número de referência química: CAS 13455-24-8. entregue em fraco de 100 g. Atenção: observar a unidade de medida do SIPAC e colocar múltiplo de 100 g.</t>
  </si>
  <si>
    <t xml:space="preserve">[KIT POLIURETANO EXPANDIDO BICOMPONENTE ( POLIOL E ISOCIANATO)] KIT DE POLIURETANO (PU) BICOMPONENTE 2KG, SENDO 1,0 KG DO COMPONENTE TIPO A (POLIOL) E 1,0 KG DO COMPONENTE TIPO B (ISOCIANATO). O ITEM DEVE ACOMPANHAR INSTRUÇÕES DE USO.
</t>
  </si>
  <si>
    <t>227714</t>
  </si>
  <si>
    <t>REALOCAR PARA MANUTENÇÃO PREDIAL</t>
  </si>
  <si>
    <t>KIT DE ESPUMA DE POLIURETANO (PU) BICOMPONENTE</t>
  </si>
  <si>
    <t>CATMAT -227714- Kit de Espuma de Poliuretano (Pu) bicomponente, com 1,0 Kg do Componente Tipo A (Poliol) e 1,1 Kg do Componente Tipo B (Isocianato). O item deve acompanhar instruções de uso.</t>
  </si>
  <si>
    <t>https://produto.mercadolivre.com.br/MLB-1294269307-espuma-de-poliuretano-expandido-kit-c-2kg-a-b-retafoam-_JM?matt_tool=18956390&amp;utm_source=google_shopping&amp;utm_medium=organic</t>
  </si>
  <si>
    <t>https://www.magazineluiza.com.br/espuma-de-poliuretano-a-b-kit-02kg-resimaker/p/daeje05723/fs/afer/?seller_id=resimaker&amp;srsltid=AfmBOoowKLhmAcwRlg77RLZHFDI-mz8bv8wPj1v4xwx8H2l0x5pM0ZgHzsE</t>
  </si>
  <si>
    <t>https://www.shoptime.com.br/produto/7319757195?opn=GOOGLEXML&amp;offerId=643e9993579fbc8d91959dfd&amp;srsltid=AfmBOooetEiGcEYbbmYlSJy6_dkI1E5QusY94z_QnNKty2yWkGSLyMmvkPc</t>
  </si>
  <si>
    <t xml:space="preserve">CATMAT - 410910 -   SOLUÇÃO TAMPÃO, TIPO:TRIS-HCL, CONCENTRAÇÃO:0,5 M, POTENCIAL HIDROGENIÔNICO:PH 6,8. VENDIDO EM "KG".
</t>
  </si>
  <si>
    <t>SOLUÇÃO TAMPÃO, TIPO:TRIS-HCL, CONCENTRAÇÃO:0,5 M, POTENCIAL HIDROGENIÔNICO:PH 6,8. VENDIDO EM "KG".</t>
  </si>
  <si>
    <t>https://www.dsyslab.com.br/tris-hydrochloride-frasco-1-kg-mod-mb030-1kg-himedia?parceiro=7063&amp;srsltid=AfmBOorSJ0Z5c2wVxNiSHXvbt-Geg9rDXkxkKJ-7Arf-dTV9iU12bvuc7og</t>
  </si>
  <si>
    <t>BIOTÉRIO/PROPEP</t>
  </si>
  <si>
    <t>HIPOCLORITO DE CÁLCIO, ASPECTO FÍSICO: PÓ BRANCO GRANULADO, ODOR DE CLORO, FÓRMULA QUÍMICA: CA CL2O2 ANIDRO, PESO MOLECULAR: 142,98 G,MOL, TEOR DE PUREZA: PUREZA MÍNIMA DE 98% , TEOR MÍNIMO DE CLORO 65%, NÚMERO DE REFERÊNCIA QUÍMICA: CAS 7778-54-3.</t>
  </si>
  <si>
    <t>356562</t>
  </si>
  <si>
    <t>NÃO SE APLICA</t>
  </si>
  <si>
    <t>MAT. LIMPEZA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</si>
</sst>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"/>
    <numFmt numFmtId="165" formatCode="dd/mm/yyyy"/>
  </numFmts>
  <fonts count="35">
    <font>
      <sz val="10.0"/>
      <color rgb="FF000000"/>
      <name val="Arial"/>
      <scheme val="minor"/>
    </font>
    <font>
      <b/>
      <color theme="1"/>
      <name val="Arial"/>
      <scheme val="minor"/>
    </font>
    <font>
      <b/>
      <color rgb="FF0000FF"/>
      <name val="Arial"/>
      <scheme val="minor"/>
    </font>
    <font>
      <b/>
      <color rgb="FF274E13"/>
      <name val="Arial"/>
      <scheme val="minor"/>
    </font>
    <font>
      <b/>
      <color rgb="FF0000FF"/>
      <name val="Arial"/>
    </font>
    <font>
      <b/>
      <sz val="11.0"/>
      <color theme="1"/>
      <name val="Calibri"/>
    </font>
    <font>
      <b/>
      <sz val="11.0"/>
      <color rgb="FF38761D"/>
      <name val="Calibri"/>
    </font>
    <font>
      <color theme="1"/>
      <name val="Arial"/>
    </font>
    <font>
      <color theme="1"/>
      <name val="Arial"/>
      <scheme val="minor"/>
    </font>
    <font>
      <color rgb="FF0000FF"/>
      <name val="Arial"/>
    </font>
    <font>
      <u/>
      <color rgb="FF274E13"/>
      <name val="Arial"/>
    </font>
    <font>
      <color rgb="FF0000FF"/>
      <name val="Arial"/>
      <scheme val="minor"/>
    </font>
    <font>
      <color rgb="FF38761D"/>
      <name val="Arial"/>
      <scheme val="minor"/>
    </font>
    <font>
      <u/>
      <color rgb="FF0000FF"/>
    </font>
    <font>
      <u/>
      <color rgb="FF0000FF"/>
    </font>
    <font>
      <u/>
      <color rgb="FF0000FF"/>
    </font>
    <font>
      <u/>
      <color rgb="FF0000FF"/>
    </font>
    <font>
      <u/>
      <color rgb="FF0000FF"/>
      <name val="Arial"/>
    </font>
    <font>
      <u/>
      <color rgb="FF0000FF"/>
    </font>
    <font>
      <u/>
      <color rgb="FF274E13"/>
      <name val="Arial"/>
    </font>
    <font>
      <u/>
      <color rgb="FF0000FF"/>
    </font>
    <font>
      <u/>
      <color rgb="FF0000FF"/>
    </font>
    <font>
      <u/>
      <color rgb="FF0000FF"/>
    </font>
    <font>
      <u/>
      <color rgb="FF0000FF"/>
    </font>
    <font>
      <u/>
      <color rgb="FF0000FF"/>
    </font>
    <font>
      <u/>
      <color rgb="FF0000FF"/>
      <name val="Arial"/>
    </font>
    <font>
      <u/>
      <color rgb="FF274E13"/>
      <name val="Arial"/>
    </font>
    <font>
      <u/>
      <color rgb="FF0000FF"/>
    </font>
    <font>
      <color rgb="FF000000"/>
      <name val="Arial"/>
      <scheme val="minor"/>
    </font>
    <font>
      <color rgb="FF38761D"/>
      <name val="Arial"/>
    </font>
    <font>
      <sz val="8.0"/>
      <color rgb="FF666666"/>
      <name val="Arial"/>
    </font>
    <font>
      <u/>
      <color rgb="FF0000FF"/>
    </font>
    <font>
      <color rgb="FF274E13"/>
      <name val="Arial"/>
    </font>
    <font>
      <u/>
      <color rgb="FF0000FF"/>
    </font>
    <font>
      <color rgb="FF274E13"/>
      <name val="Arial"/>
      <scheme val="minor"/>
    </font>
  </fonts>
  <fills count="11">
    <fill>
      <patternFill patternType="none"/>
    </fill>
    <fill>
      <patternFill patternType="lightGray"/>
    </fill>
    <fill>
      <patternFill patternType="solid">
        <fgColor rgb="FF8BC34A"/>
        <bgColor rgb="FF8BC34A"/>
      </patternFill>
    </fill>
    <fill>
      <patternFill patternType="solid">
        <fgColor rgb="FFFFE599"/>
        <bgColor rgb="FFFFE599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9FC5E8"/>
        <bgColor rgb="FF9FC5E8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00FF00"/>
        <bgColor rgb="FF00FF00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1"/>
    </xf>
    <xf borderId="1" fillId="0" fontId="2" numFmtId="0" xfId="0" applyAlignment="1" applyBorder="1" applyFont="1">
      <alignment horizontal="left" readingOrder="0" shrinkToFit="0" wrapText="1"/>
    </xf>
    <xf borderId="1" fillId="0" fontId="2" numFmtId="2" xfId="0" applyAlignment="1" applyBorder="1" applyFont="1" applyNumberFormat="1">
      <alignment horizontal="center" readingOrder="0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1" fillId="0" fontId="3" numFmtId="0" xfId="0" applyAlignment="1" applyBorder="1" applyFont="1">
      <alignment horizontal="center" readingOrder="0" shrinkToFit="0" vertical="center" wrapText="1"/>
    </xf>
    <xf borderId="1" fillId="0" fontId="2" numFmtId="0" xfId="0" applyAlignment="1" applyBorder="1" applyFont="1">
      <alignment horizontal="center" readingOrder="0" shrinkToFit="0" wrapText="1"/>
    </xf>
    <xf borderId="1" fillId="0" fontId="4" numFmtId="0" xfId="0" applyAlignment="1" applyBorder="1" applyFont="1">
      <alignment horizontal="center" readingOrder="0" shrinkToFit="0" vertical="bottom" wrapText="1"/>
    </xf>
    <xf borderId="0" fillId="2" fontId="5" numFmtId="0" xfId="0" applyAlignment="1" applyFill="1" applyFont="1">
      <alignment horizontal="left" shrinkToFit="0" wrapText="0"/>
    </xf>
    <xf borderId="0" fillId="2" fontId="5" numFmtId="0" xfId="0" applyAlignment="1" applyFont="1">
      <alignment shrinkToFit="0" wrapText="1"/>
    </xf>
    <xf borderId="0" fillId="2" fontId="5" numFmtId="2" xfId="0" applyAlignment="1" applyFont="1" applyNumberFormat="1">
      <alignment shrinkToFit="0" wrapText="1"/>
    </xf>
    <xf borderId="0" fillId="3" fontId="6" numFmtId="2" xfId="0" applyAlignment="1" applyFill="1" applyFont="1" applyNumberFormat="1">
      <alignment shrinkToFit="0" wrapText="1"/>
    </xf>
    <xf borderId="0" fillId="4" fontId="5" numFmtId="0" xfId="0" applyAlignment="1" applyFill="1" applyFont="1">
      <alignment horizontal="left" shrinkToFit="0" wrapText="0"/>
    </xf>
    <xf borderId="0" fillId="5" fontId="5" numFmtId="0" xfId="0" applyAlignment="1" applyFill="1" applyFont="1">
      <alignment horizontal="left"/>
    </xf>
    <xf borderId="0" fillId="2" fontId="5" numFmtId="0" xfId="0" applyAlignment="1" applyFont="1">
      <alignment shrinkToFit="0" wrapText="0"/>
    </xf>
    <xf borderId="0" fillId="6" fontId="5" numFmtId="0" xfId="0" applyAlignment="1" applyFill="1" applyFont="1">
      <alignment shrinkToFit="0" wrapText="0"/>
    </xf>
    <xf borderId="0" fillId="2" fontId="5" numFmtId="2" xfId="0" applyAlignment="1" applyFont="1" applyNumberFormat="1">
      <alignment horizontal="center" shrinkToFit="0" wrapText="1"/>
    </xf>
    <xf borderId="0" fillId="2" fontId="5" numFmtId="0" xfId="0" applyAlignment="1" applyFont="1">
      <alignment horizontal="center" shrinkToFit="0" wrapText="1"/>
    </xf>
    <xf borderId="0" fillId="0" fontId="7" numFmtId="0" xfId="0" applyAlignment="1" applyFont="1">
      <alignment shrinkToFit="0" vertical="bottom" wrapText="1"/>
    </xf>
    <xf borderId="0" fillId="0" fontId="7" numFmtId="0" xfId="0" applyAlignment="1" applyFont="1">
      <alignment vertical="bottom"/>
    </xf>
    <xf borderId="0" fillId="0" fontId="7" numFmtId="0" xfId="0" applyAlignment="1" applyFont="1">
      <alignment horizontal="right" vertical="bottom"/>
    </xf>
    <xf borderId="0" fillId="0" fontId="7" numFmtId="0" xfId="0" applyAlignment="1" applyFont="1">
      <alignment horizontal="center" vertical="bottom"/>
    </xf>
    <xf borderId="1" fillId="0" fontId="8" numFmtId="0" xfId="0" applyAlignment="1" applyBorder="1" applyFont="1">
      <alignment horizontal="left" readingOrder="0" shrinkToFit="0" wrapText="1"/>
    </xf>
    <xf borderId="1" fillId="0" fontId="9" numFmtId="2" xfId="0" applyAlignment="1" applyBorder="1" applyFont="1" applyNumberFormat="1">
      <alignment horizontal="center" readingOrder="0" shrinkToFit="0" vertical="center" wrapText="1"/>
    </xf>
    <xf borderId="1" fillId="0" fontId="9" numFmtId="0" xfId="0" applyAlignment="1" applyBorder="1" applyFont="1">
      <alignment horizontal="center" readingOrder="0" shrinkToFit="0" vertical="center" wrapText="1"/>
    </xf>
    <xf borderId="1" fillId="0" fontId="9" numFmtId="0" xfId="0" applyAlignment="1" applyBorder="1" applyFont="1">
      <alignment horizontal="center" readingOrder="0" vertical="center"/>
    </xf>
    <xf borderId="1" fillId="0" fontId="10" numFmtId="0" xfId="0" applyAlignment="1" applyBorder="1" applyFont="1">
      <alignment horizontal="center" readingOrder="0" shrinkToFit="0" vertical="center" wrapText="1"/>
    </xf>
    <xf borderId="1" fillId="0" fontId="9" numFmtId="0" xfId="0" applyAlignment="1" applyBorder="1" applyFont="1">
      <alignment horizontal="left" readingOrder="0" shrinkToFit="0" vertical="bottom" wrapText="1"/>
    </xf>
    <xf borderId="1" fillId="0" fontId="9" numFmtId="0" xfId="0" applyAlignment="1" applyBorder="1" applyFont="1">
      <alignment horizontal="center" readingOrder="0" vertical="bottom"/>
    </xf>
    <xf borderId="1" fillId="0" fontId="9" numFmtId="0" xfId="0" applyAlignment="1" applyBorder="1" applyFont="1">
      <alignment horizontal="center" vertical="bottom"/>
    </xf>
    <xf borderId="1" fillId="0" fontId="11" numFmtId="0" xfId="0" applyAlignment="1" applyBorder="1" applyFont="1">
      <alignment horizontal="center"/>
    </xf>
    <xf borderId="1" fillId="0" fontId="11" numFmtId="0" xfId="0" applyAlignment="1" applyBorder="1" applyFont="1">
      <alignment horizontal="center" shrinkToFit="0" wrapText="0"/>
    </xf>
    <xf borderId="1" fillId="0" fontId="11" numFmtId="2" xfId="0" applyAlignment="1" applyBorder="1" applyFont="1" applyNumberFormat="1">
      <alignment horizontal="center"/>
    </xf>
    <xf borderId="1" fillId="0" fontId="12" numFmtId="2" xfId="0" applyAlignment="1" applyBorder="1" applyFont="1" applyNumberFormat="1">
      <alignment horizontal="center"/>
    </xf>
    <xf borderId="1" fillId="0" fontId="11" numFmtId="0" xfId="0" applyAlignment="1" applyBorder="1" applyFont="1">
      <alignment horizontal="left" shrinkToFit="0" wrapText="0"/>
    </xf>
    <xf borderId="1" fillId="0" fontId="11" numFmtId="0" xfId="0" applyAlignment="1" applyBorder="1" applyFont="1">
      <alignment horizontal="left"/>
    </xf>
    <xf borderId="1" fillId="0" fontId="11" numFmtId="0" xfId="0" applyAlignment="1" applyBorder="1" applyFont="1">
      <alignment horizontal="left" readingOrder="0" shrinkToFit="0" wrapText="1"/>
    </xf>
    <xf borderId="1" fillId="0" fontId="11" numFmtId="0" xfId="0" applyAlignment="1" applyBorder="1" applyFont="1">
      <alignment horizontal="left" readingOrder="0" shrinkToFit="0" wrapText="0"/>
    </xf>
    <xf borderId="1" fillId="0" fontId="11" numFmtId="0" xfId="0" applyAlignment="1" applyBorder="1" applyFont="1">
      <alignment horizontal="center" readingOrder="0"/>
    </xf>
    <xf borderId="1" fillId="0" fontId="13" numFmtId="0" xfId="0" applyAlignment="1" applyBorder="1" applyFont="1">
      <alignment horizontal="center" readingOrder="0" shrinkToFit="0" wrapText="0"/>
    </xf>
    <xf borderId="1" fillId="0" fontId="11" numFmtId="164" xfId="0" applyAlignment="1" applyBorder="1" applyFont="1" applyNumberFormat="1">
      <alignment horizontal="center" readingOrder="0"/>
    </xf>
    <xf borderId="1" fillId="0" fontId="11" numFmtId="0" xfId="0" applyAlignment="1" applyBorder="1" applyFont="1">
      <alignment horizontal="left" readingOrder="0"/>
    </xf>
    <xf borderId="1" fillId="0" fontId="11" numFmtId="2" xfId="0" applyAlignment="1" applyBorder="1" applyFont="1" applyNumberFormat="1">
      <alignment horizontal="center" readingOrder="0"/>
    </xf>
    <xf borderId="1" fillId="0" fontId="14" numFmtId="0" xfId="0" applyAlignment="1" applyBorder="1" applyFont="1">
      <alignment horizontal="left" readingOrder="0" shrinkToFit="0" wrapText="0"/>
    </xf>
    <xf borderId="1" fillId="0" fontId="15" numFmtId="0" xfId="0" applyAlignment="1" applyBorder="1" applyFont="1">
      <alignment horizontal="left" readingOrder="0" shrinkToFit="0" wrapText="0"/>
    </xf>
    <xf borderId="1" fillId="0" fontId="11" numFmtId="0" xfId="0" applyAlignment="1" applyBorder="1" applyFont="1">
      <alignment horizontal="left" shrinkToFit="0" wrapText="1"/>
    </xf>
    <xf borderId="1" fillId="0" fontId="16" numFmtId="0" xfId="0" applyAlignment="1" applyBorder="1" applyFont="1">
      <alignment horizontal="center" readingOrder="0" shrinkToFit="0" wrapText="0"/>
    </xf>
    <xf borderId="1" fillId="7" fontId="11" numFmtId="0" xfId="0" applyAlignment="1" applyBorder="1" applyFill="1" applyFont="1">
      <alignment horizontal="left" readingOrder="0" shrinkToFit="0" wrapText="1"/>
    </xf>
    <xf borderId="0" fillId="0" fontId="7" numFmtId="0" xfId="0" applyAlignment="1" applyFont="1">
      <alignment readingOrder="0" shrinkToFit="0" vertical="bottom" wrapText="1"/>
    </xf>
    <xf borderId="1" fillId="0" fontId="11" numFmtId="0" xfId="0" applyAlignment="1" applyBorder="1" applyFont="1">
      <alignment horizontal="center" readingOrder="0" shrinkToFit="0" wrapText="0"/>
    </xf>
    <xf borderId="1" fillId="0" fontId="8" numFmtId="0" xfId="0" applyAlignment="1" applyBorder="1" applyFont="1">
      <alignment horizontal="center" readingOrder="0" shrinkToFit="0" wrapText="0"/>
    </xf>
    <xf borderId="1" fillId="0" fontId="17" numFmtId="0" xfId="0" applyAlignment="1" applyBorder="1" applyFont="1">
      <alignment horizontal="center" readingOrder="0" shrinkToFit="0" vertical="center" wrapText="1"/>
    </xf>
    <xf borderId="1" fillId="0" fontId="18" numFmtId="0" xfId="0" applyAlignment="1" applyBorder="1" applyFont="1">
      <alignment horizontal="left" readingOrder="0" shrinkToFit="0" wrapText="1"/>
    </xf>
    <xf borderId="0" fillId="0" fontId="7" numFmtId="0" xfId="0" applyAlignment="1" applyFont="1">
      <alignment readingOrder="0" vertical="bottom"/>
    </xf>
    <xf borderId="1" fillId="0" fontId="9" numFmtId="0" xfId="0" applyAlignment="1" applyBorder="1" applyFont="1">
      <alignment horizontal="left" readingOrder="0" shrinkToFit="0" vertical="bottom" wrapText="0"/>
    </xf>
    <xf borderId="0" fillId="8" fontId="7" numFmtId="0" xfId="0" applyAlignment="1" applyFill="1" applyFont="1">
      <alignment shrinkToFit="0" vertical="bottom" wrapText="1"/>
    </xf>
    <xf borderId="0" fillId="8" fontId="7" numFmtId="0" xfId="0" applyAlignment="1" applyFont="1">
      <alignment vertical="bottom"/>
    </xf>
    <xf borderId="0" fillId="8" fontId="7" numFmtId="0" xfId="0" applyAlignment="1" applyFont="1">
      <alignment horizontal="right" vertical="bottom"/>
    </xf>
    <xf borderId="0" fillId="8" fontId="7" numFmtId="0" xfId="0" applyAlignment="1" applyFont="1">
      <alignment horizontal="center" vertical="bottom"/>
    </xf>
    <xf borderId="1" fillId="8" fontId="11" numFmtId="0" xfId="0" applyAlignment="1" applyBorder="1" applyFont="1">
      <alignment horizontal="left" readingOrder="0" shrinkToFit="0" wrapText="1"/>
    </xf>
    <xf borderId="1" fillId="8" fontId="9" numFmtId="2" xfId="0" applyAlignment="1" applyBorder="1" applyFont="1" applyNumberFormat="1">
      <alignment horizontal="center" readingOrder="0" shrinkToFit="0" vertical="center" wrapText="1"/>
    </xf>
    <xf borderId="1" fillId="8" fontId="9" numFmtId="0" xfId="0" applyAlignment="1" applyBorder="1" applyFont="1">
      <alignment horizontal="center" readingOrder="0" shrinkToFit="0" vertical="center" wrapText="1"/>
    </xf>
    <xf borderId="1" fillId="8" fontId="9" numFmtId="0" xfId="0" applyAlignment="1" applyBorder="1" applyFont="1">
      <alignment horizontal="center" readingOrder="0" vertical="center"/>
    </xf>
    <xf borderId="1" fillId="8" fontId="19" numFmtId="0" xfId="0" applyAlignment="1" applyBorder="1" applyFont="1">
      <alignment horizontal="center" readingOrder="0" shrinkToFit="0" vertical="center" wrapText="1"/>
    </xf>
    <xf borderId="1" fillId="8" fontId="9" numFmtId="0" xfId="0" applyAlignment="1" applyBorder="1" applyFont="1">
      <alignment horizontal="left" readingOrder="0" shrinkToFit="0" vertical="bottom" wrapText="1"/>
    </xf>
    <xf borderId="1" fillId="8" fontId="9" numFmtId="0" xfId="0" applyAlignment="1" applyBorder="1" applyFont="1">
      <alignment horizontal="center" readingOrder="0" vertical="bottom"/>
    </xf>
    <xf borderId="1" fillId="8" fontId="11" numFmtId="0" xfId="0" applyAlignment="1" applyBorder="1" applyFont="1">
      <alignment horizontal="center"/>
    </xf>
    <xf borderId="1" fillId="8" fontId="11" numFmtId="0" xfId="0" applyAlignment="1" applyBorder="1" applyFont="1">
      <alignment horizontal="center" readingOrder="0"/>
    </xf>
    <xf borderId="1" fillId="8" fontId="9" numFmtId="0" xfId="0" applyAlignment="1" applyBorder="1" applyFont="1">
      <alignment horizontal="center" vertical="bottom"/>
    </xf>
    <xf borderId="1" fillId="8" fontId="11" numFmtId="0" xfId="0" applyAlignment="1" applyBorder="1" applyFont="1">
      <alignment horizontal="center" shrinkToFit="0" wrapText="0"/>
    </xf>
    <xf borderId="1" fillId="8" fontId="11" numFmtId="2" xfId="0" applyAlignment="1" applyBorder="1" applyFont="1" applyNumberFormat="1">
      <alignment horizontal="center"/>
    </xf>
    <xf borderId="1" fillId="8" fontId="12" numFmtId="2" xfId="0" applyAlignment="1" applyBorder="1" applyFont="1" applyNumberFormat="1">
      <alignment horizontal="center"/>
    </xf>
    <xf borderId="1" fillId="8" fontId="11" numFmtId="0" xfId="0" applyAlignment="1" applyBorder="1" applyFont="1">
      <alignment horizontal="left" shrinkToFit="0" wrapText="0"/>
    </xf>
    <xf borderId="1" fillId="8" fontId="11" numFmtId="2" xfId="0" applyAlignment="1" applyBorder="1" applyFont="1" applyNumberFormat="1">
      <alignment horizontal="center" readingOrder="0"/>
    </xf>
    <xf borderId="1" fillId="8" fontId="20" numFmtId="0" xfId="0" applyAlignment="1" applyBorder="1" applyFont="1">
      <alignment horizontal="center" readingOrder="0" shrinkToFit="0" wrapText="0"/>
    </xf>
    <xf borderId="1" fillId="8" fontId="11" numFmtId="0" xfId="0" applyAlignment="1" applyBorder="1" applyFont="1">
      <alignment horizontal="left"/>
    </xf>
    <xf borderId="1" fillId="8" fontId="21" numFmtId="0" xfId="0" applyAlignment="1" applyBorder="1" applyFont="1">
      <alignment horizontal="center" readingOrder="0" shrinkToFit="0" wrapText="0"/>
    </xf>
    <xf borderId="1" fillId="8" fontId="11" numFmtId="0" xfId="0" applyAlignment="1" applyBorder="1" applyFont="1">
      <alignment horizontal="center" readingOrder="0" shrinkToFit="0" wrapText="0"/>
    </xf>
    <xf borderId="1" fillId="0" fontId="9" numFmtId="2" xfId="0" applyAlignment="1" applyBorder="1" applyFont="1" applyNumberFormat="1">
      <alignment horizontal="center" readingOrder="0" shrinkToFit="0" vertical="center" wrapText="1"/>
    </xf>
    <xf borderId="1" fillId="8" fontId="11" numFmtId="0" xfId="0" applyAlignment="1" applyBorder="1" applyFont="1">
      <alignment horizontal="left" shrinkToFit="0" wrapText="1"/>
    </xf>
    <xf borderId="0" fillId="8" fontId="22" numFmtId="0" xfId="0" applyAlignment="1" applyFont="1">
      <alignment readingOrder="0" shrinkToFit="0" wrapText="0"/>
    </xf>
    <xf borderId="0" fillId="0" fontId="8" numFmtId="0" xfId="0" applyFont="1"/>
    <xf borderId="1" fillId="0" fontId="8" numFmtId="2" xfId="0" applyAlignment="1" applyBorder="1" applyFont="1" applyNumberFormat="1">
      <alignment readingOrder="0"/>
    </xf>
    <xf borderId="0" fillId="0" fontId="11" numFmtId="2" xfId="0" applyAlignment="1" applyFont="1" applyNumberFormat="1">
      <alignment horizontal="center" readingOrder="0"/>
    </xf>
    <xf borderId="1" fillId="0" fontId="23" numFmtId="0" xfId="0" applyAlignment="1" applyBorder="1" applyFont="1">
      <alignment horizontal="center" readingOrder="0"/>
    </xf>
    <xf borderId="0" fillId="4" fontId="7" numFmtId="0" xfId="0" applyAlignment="1" applyFont="1">
      <alignment horizontal="center" vertical="bottom"/>
    </xf>
    <xf borderId="1" fillId="0" fontId="24" numFmtId="0" xfId="0" applyAlignment="1" applyBorder="1" applyFont="1">
      <alignment horizontal="center" shrinkToFit="0" wrapText="0"/>
    </xf>
    <xf borderId="0" fillId="8" fontId="7" numFmtId="0" xfId="0" applyAlignment="1" applyFont="1">
      <alignment readingOrder="0" shrinkToFit="0" vertical="bottom" wrapText="1"/>
    </xf>
    <xf borderId="0" fillId="8" fontId="7" numFmtId="0" xfId="0" applyAlignment="1" applyFont="1">
      <alignment readingOrder="0" vertical="bottom"/>
    </xf>
    <xf borderId="1" fillId="0" fontId="25" numFmtId="2" xfId="0" applyAlignment="1" applyBorder="1" applyFont="1" applyNumberFormat="1">
      <alignment horizontal="center" readingOrder="0" shrinkToFit="0" vertical="center" wrapText="1"/>
    </xf>
    <xf borderId="1" fillId="0" fontId="8" numFmtId="2" xfId="0" applyAlignment="1" applyBorder="1" applyFont="1" applyNumberFormat="1">
      <alignment horizontal="center" readingOrder="0"/>
    </xf>
    <xf borderId="0" fillId="0" fontId="11" numFmtId="2" xfId="0" applyAlignment="1" applyFont="1" applyNumberFormat="1">
      <alignment horizontal="center"/>
    </xf>
    <xf borderId="2" fillId="0" fontId="7" numFmtId="0" xfId="0" applyAlignment="1" applyBorder="1" applyFont="1">
      <alignment horizontal="center" vertical="bottom"/>
    </xf>
    <xf borderId="3" fillId="0" fontId="11" numFmtId="0" xfId="0" applyAlignment="1" applyBorder="1" applyFont="1">
      <alignment horizontal="left" shrinkToFit="0" wrapText="1"/>
    </xf>
    <xf borderId="3" fillId="0" fontId="9" numFmtId="2" xfId="0" applyAlignment="1" applyBorder="1" applyFont="1" applyNumberFormat="1">
      <alignment horizontal="center" readingOrder="0" shrinkToFit="0" vertical="center" wrapText="1"/>
    </xf>
    <xf borderId="3" fillId="0" fontId="9" numFmtId="0" xfId="0" applyAlignment="1" applyBorder="1" applyFont="1">
      <alignment horizontal="center" readingOrder="0" shrinkToFit="0" vertical="center" wrapText="1"/>
    </xf>
    <xf borderId="3" fillId="0" fontId="9" numFmtId="0" xfId="0" applyAlignment="1" applyBorder="1" applyFont="1">
      <alignment horizontal="center" readingOrder="0" vertical="center"/>
    </xf>
    <xf borderId="3" fillId="0" fontId="26" numFmtId="0" xfId="0" applyAlignment="1" applyBorder="1" applyFont="1">
      <alignment horizontal="center" readingOrder="0" shrinkToFit="0" vertical="center" wrapText="1"/>
    </xf>
    <xf borderId="3" fillId="0" fontId="9" numFmtId="0" xfId="0" applyAlignment="1" applyBorder="1" applyFont="1">
      <alignment horizontal="left" readingOrder="0" shrinkToFit="0" vertical="bottom" wrapText="1"/>
    </xf>
    <xf borderId="3" fillId="0" fontId="9" numFmtId="0" xfId="0" applyAlignment="1" applyBorder="1" applyFont="1">
      <alignment horizontal="center" vertical="bottom"/>
    </xf>
    <xf borderId="3" fillId="0" fontId="11" numFmtId="0" xfId="0" applyAlignment="1" applyBorder="1" applyFont="1">
      <alignment horizontal="center"/>
    </xf>
    <xf borderId="3" fillId="0" fontId="11" numFmtId="0" xfId="0" applyAlignment="1" applyBorder="1" applyFont="1">
      <alignment horizontal="center" readingOrder="0"/>
    </xf>
    <xf borderId="3" fillId="0" fontId="11" numFmtId="0" xfId="0" applyAlignment="1" applyBorder="1" applyFont="1">
      <alignment horizontal="center" shrinkToFit="0" wrapText="0"/>
    </xf>
    <xf borderId="3" fillId="0" fontId="11" numFmtId="2" xfId="0" applyAlignment="1" applyBorder="1" applyFont="1" applyNumberFormat="1">
      <alignment horizontal="center"/>
    </xf>
    <xf borderId="3" fillId="0" fontId="12" numFmtId="2" xfId="0" applyAlignment="1" applyBorder="1" applyFont="1" applyNumberFormat="1">
      <alignment horizontal="center"/>
    </xf>
    <xf borderId="3" fillId="0" fontId="11" numFmtId="0" xfId="0" applyAlignment="1" applyBorder="1" applyFont="1">
      <alignment horizontal="left" shrinkToFit="0" wrapText="0"/>
    </xf>
    <xf borderId="3" fillId="0" fontId="11" numFmtId="2" xfId="0" applyAlignment="1" applyBorder="1" applyFont="1" applyNumberFormat="1">
      <alignment horizontal="center" readingOrder="0"/>
    </xf>
    <xf borderId="3" fillId="0" fontId="27" numFmtId="0" xfId="0" applyAlignment="1" applyBorder="1" applyFont="1">
      <alignment horizontal="center" readingOrder="0" shrinkToFit="0" wrapText="0"/>
    </xf>
    <xf borderId="3" fillId="0" fontId="11" numFmtId="0" xfId="0" applyAlignment="1" applyBorder="1" applyFont="1">
      <alignment horizontal="left"/>
    </xf>
    <xf borderId="3" fillId="0" fontId="11" numFmtId="0" xfId="0" applyAlignment="1" applyBorder="1" applyFont="1">
      <alignment horizontal="center" readingOrder="0" shrinkToFit="0" wrapText="0"/>
    </xf>
    <xf borderId="1" fillId="0" fontId="28" numFmtId="2" xfId="0" applyAlignment="1" applyBorder="1" applyFont="1" applyNumberFormat="1">
      <alignment horizontal="center" readingOrder="0"/>
    </xf>
    <xf borderId="1" fillId="0" fontId="11" numFmtId="165" xfId="0" applyAlignment="1" applyBorder="1" applyFont="1" applyNumberFormat="1">
      <alignment horizontal="center" readingOrder="0"/>
    </xf>
    <xf borderId="1" fillId="0" fontId="9" numFmtId="0" xfId="0" applyAlignment="1" applyBorder="1" applyFont="1">
      <alignment horizontal="center" readingOrder="0"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1" fillId="4" fontId="9" numFmtId="0" xfId="0" applyAlignment="1" applyBorder="1" applyFont="1">
      <alignment horizontal="center" vertical="bottom"/>
    </xf>
    <xf borderId="0" fillId="0" fontId="7" numFmtId="0" xfId="0" applyAlignment="1" applyFont="1">
      <alignment horizontal="right" readingOrder="0" vertical="bottom"/>
    </xf>
    <xf borderId="1" fillId="0" fontId="7" numFmtId="0" xfId="0" applyAlignment="1" applyBorder="1" applyFont="1">
      <alignment horizontal="left" shrinkToFit="0" vertical="bottom" wrapText="1"/>
    </xf>
    <xf borderId="1" fillId="0" fontId="9" numFmtId="0" xfId="0" applyAlignment="1" applyBorder="1" applyFont="1">
      <alignment readingOrder="0" shrinkToFit="0" vertical="bottom" wrapText="1"/>
    </xf>
    <xf borderId="1" fillId="0" fontId="7" numFmtId="0" xfId="0" applyAlignment="1" applyBorder="1" applyFont="1">
      <alignment vertical="bottom"/>
    </xf>
    <xf borderId="1" fillId="0" fontId="7" numFmtId="0" xfId="0" applyAlignment="1" applyBorder="1" applyFont="1">
      <alignment vertical="bottom"/>
    </xf>
    <xf borderId="1" fillId="0" fontId="9" numFmtId="2" xfId="0" applyAlignment="1" applyBorder="1" applyFont="1" applyNumberFormat="1">
      <alignment horizontal="center" vertical="bottom"/>
    </xf>
    <xf borderId="1" fillId="0" fontId="29" numFmtId="2" xfId="0" applyAlignment="1" applyBorder="1" applyFont="1" applyNumberFormat="1">
      <alignment horizontal="center" vertical="bottom"/>
    </xf>
    <xf borderId="1" fillId="0" fontId="7" numFmtId="2" xfId="0" applyAlignment="1" applyBorder="1" applyFont="1" applyNumberFormat="1">
      <alignment vertical="bottom"/>
    </xf>
    <xf borderId="1" fillId="0" fontId="7" numFmtId="0" xfId="0" applyAlignment="1" applyBorder="1" applyFont="1">
      <alignment shrinkToFit="0" vertical="bottom" wrapText="0"/>
    </xf>
    <xf borderId="1" fillId="8" fontId="30" numFmtId="0" xfId="0" applyAlignment="1" applyBorder="1" applyFont="1">
      <alignment horizontal="center" readingOrder="0"/>
    </xf>
    <xf borderId="0" fillId="0" fontId="11" numFmtId="0" xfId="0" applyAlignment="1" applyFont="1">
      <alignment horizontal="left" readingOrder="0" shrinkToFit="0" wrapText="0"/>
    </xf>
    <xf borderId="1" fillId="0" fontId="31" numFmtId="0" xfId="0" applyAlignment="1" applyBorder="1" applyFont="1">
      <alignment readingOrder="0" shrinkToFit="0" wrapText="0"/>
    </xf>
    <xf borderId="0" fillId="9" fontId="7" numFmtId="0" xfId="0" applyAlignment="1" applyFill="1" applyFont="1">
      <alignment shrinkToFit="0" vertical="bottom" wrapText="1"/>
    </xf>
    <xf borderId="0" fillId="9" fontId="7" numFmtId="0" xfId="0" applyAlignment="1" applyFont="1">
      <alignment readingOrder="0" vertical="bottom"/>
    </xf>
    <xf borderId="0" fillId="9" fontId="7" numFmtId="0" xfId="0" applyAlignment="1" applyFont="1">
      <alignment vertical="bottom"/>
    </xf>
    <xf borderId="0" fillId="9" fontId="7" numFmtId="0" xfId="0" applyAlignment="1" applyFont="1">
      <alignment horizontal="right" vertical="bottom"/>
    </xf>
    <xf borderId="0" fillId="9" fontId="7" numFmtId="0" xfId="0" applyAlignment="1" applyFont="1">
      <alignment horizontal="center" readingOrder="0" vertical="bottom"/>
    </xf>
    <xf borderId="1" fillId="9" fontId="11" numFmtId="0" xfId="0" applyAlignment="1" applyBorder="1" applyFont="1">
      <alignment horizontal="left" shrinkToFit="0" wrapText="1"/>
    </xf>
    <xf borderId="1" fillId="9" fontId="9" numFmtId="2" xfId="0" applyAlignment="1" applyBorder="1" applyFont="1" applyNumberFormat="1">
      <alignment horizontal="center" readingOrder="0" shrinkToFit="0" vertical="center" wrapText="1"/>
    </xf>
    <xf borderId="1" fillId="9" fontId="9" numFmtId="0" xfId="0" applyAlignment="1" applyBorder="1" applyFont="1">
      <alignment horizontal="center" readingOrder="0" shrinkToFit="0" vertical="center" wrapText="1"/>
    </xf>
    <xf borderId="1" fillId="9" fontId="9" numFmtId="0" xfId="0" applyAlignment="1" applyBorder="1" applyFont="1">
      <alignment horizontal="center" readingOrder="0" vertical="center"/>
    </xf>
    <xf borderId="1" fillId="9" fontId="32" numFmtId="0" xfId="0" applyAlignment="1" applyBorder="1" applyFont="1">
      <alignment horizontal="center" readingOrder="0" shrinkToFit="0" vertical="center" wrapText="1"/>
    </xf>
    <xf borderId="1" fillId="10" fontId="9" numFmtId="0" xfId="0" applyAlignment="1" applyBorder="1" applyFill="1" applyFont="1">
      <alignment horizontal="left" readingOrder="0" shrinkToFit="0" vertical="bottom" wrapText="1"/>
    </xf>
    <xf borderId="1" fillId="9" fontId="9" numFmtId="0" xfId="0" applyAlignment="1" applyBorder="1" applyFont="1">
      <alignment horizontal="center" readingOrder="0" vertical="bottom"/>
    </xf>
    <xf borderId="1" fillId="9" fontId="9" numFmtId="0" xfId="0" applyAlignment="1" applyBorder="1" applyFont="1">
      <alignment horizontal="center" vertical="bottom"/>
    </xf>
    <xf borderId="1" fillId="9" fontId="11" numFmtId="0" xfId="0" applyAlignment="1" applyBorder="1" applyFont="1">
      <alignment horizontal="center"/>
    </xf>
    <xf borderId="1" fillId="9" fontId="11" numFmtId="0" xfId="0" applyAlignment="1" applyBorder="1" applyFont="1">
      <alignment horizontal="center" shrinkToFit="0" wrapText="0"/>
    </xf>
    <xf borderId="1" fillId="9" fontId="11" numFmtId="0" xfId="0" applyAlignment="1" applyBorder="1" applyFont="1">
      <alignment horizontal="center" readingOrder="0"/>
    </xf>
    <xf borderId="1" fillId="9" fontId="11" numFmtId="0" xfId="0" applyAlignment="1" applyBorder="1" applyFont="1">
      <alignment horizontal="left" shrinkToFit="0" wrapText="0"/>
    </xf>
    <xf borderId="1" fillId="9" fontId="11" numFmtId="2" xfId="0" applyAlignment="1" applyBorder="1" applyFont="1" applyNumberFormat="1">
      <alignment horizontal="center" readingOrder="0"/>
    </xf>
    <xf borderId="0" fillId="9" fontId="33" numFmtId="0" xfId="0" applyAlignment="1" applyFont="1">
      <alignment horizontal="center" readingOrder="0" shrinkToFit="0" wrapText="0"/>
    </xf>
    <xf borderId="1" fillId="9" fontId="11" numFmtId="0" xfId="0" applyAlignment="1" applyBorder="1" applyFont="1">
      <alignment horizontal="left"/>
    </xf>
    <xf borderId="1" fillId="9" fontId="11" numFmtId="2" xfId="0" applyAlignment="1" applyBorder="1" applyFont="1" applyNumberFormat="1">
      <alignment horizontal="center"/>
    </xf>
    <xf borderId="0" fillId="0" fontId="8" numFmtId="0" xfId="0" applyAlignment="1" applyFont="1">
      <alignment horizontal="left" shrinkToFit="0" wrapText="1"/>
    </xf>
    <xf borderId="0" fillId="0" fontId="11" numFmtId="2" xfId="0" applyAlignment="1" applyFont="1" applyNumberFormat="1">
      <alignment horizontal="center" shrinkToFit="0" vertical="center" wrapText="1"/>
    </xf>
    <xf borderId="0" fillId="0" fontId="11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vertical="center"/>
    </xf>
    <xf borderId="0" fillId="0" fontId="34" numFmtId="0" xfId="0" applyAlignment="1" applyFont="1">
      <alignment horizontal="center" shrinkToFit="0" vertical="center" wrapText="1"/>
    </xf>
    <xf borderId="0" fillId="0" fontId="12" numFmtId="0" xfId="0" applyFont="1"/>
    <xf borderId="0" fillId="0" fontId="8" numFmtId="0" xfId="0" applyAlignment="1" applyFont="1">
      <alignment shrinkToFit="0" wrapText="0"/>
    </xf>
    <xf borderId="0" fillId="0" fontId="8" numFmtId="0" xfId="0" applyAlignment="1" applyFont="1">
      <alignment horizontal="left" readingOrder="0" shrinkToFit="0" wrapText="1"/>
    </xf>
    <xf borderId="0" fillId="0" fontId="11" numFmtId="0" xfId="0" applyAlignment="1" applyFont="1">
      <alignment horizontal="center"/>
    </xf>
    <xf borderId="0" fillId="0" fontId="11" numFmtId="0" xfId="0" applyAlignment="1" applyFont="1">
      <alignment horizontal="center" readingOrder="0"/>
    </xf>
    <xf borderId="0" fillId="0" fontId="9" numFmtId="0" xfId="0" applyAlignment="1" applyFont="1">
      <alignment horizontal="center" vertical="bottom"/>
    </xf>
    <xf borderId="0" fillId="0" fontId="11" numFmtId="0" xfId="0" applyAlignment="1" applyFont="1">
      <alignment horizontal="center" readingOrder="0" shrinkToFit="0" wrapText="0"/>
    </xf>
    <xf borderId="0" fillId="0" fontId="11" numFmtId="165" xfId="0" applyAlignment="1" applyFont="1" applyNumberFormat="1">
      <alignment horizontal="center" readingOrder="0"/>
    </xf>
  </cellXfs>
  <cellStyles count="1">
    <cellStyle xfId="0" name="Normal" builtinId="0"/>
  </cellStyles>
  <dxfs count="1"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https://www.lumilabor.com.br/reagentes-e-meios/agar-salmonella-shigella-ss-frasco-500g-k25-1064-kasvi?parceiro=6858&amp;gad_source=4&amp;gclid=Cj0KCQiArrCvBhCNARIsAOkAGcWXBLoTEZQ_Bl1QJACGwVllo8SyyxgIM3LhuNcQkVhtUierfM6eSMAaApyYEALw_wcB" TargetMode="External"/><Relationship Id="rId194" Type="http://schemas.openxmlformats.org/officeDocument/2006/relationships/hyperlink" Target="https://www.lumilabor.com.br/reagentes-e-meios/agar-sangue-base-frasco-500g-k25-1108-kasvi?parceiro=6858&amp;gad_source=4&amp;gclid=Cj0KCQiArrCvBhCNARIsAOkAGcU0wzfGEPlk3B5kpErj-M8QNEGZIFN69CgL3INu7HaheTcoTNi521oaAt5wEALw_wcB" TargetMode="External"/><Relationship Id="rId193" Type="http://schemas.openxmlformats.org/officeDocument/2006/relationships/hyperlink" Target="https://www.acsreagentes.com.br/agar-base-sangue.-frasco-500-g?utm_source=Site&amp;utm_medium=GoogleShopping&amp;utm_campaign=GooglePMax&amp;gad_source=4&amp;gclid=Cj0KCQiArrCvBhCNARIsAOkAGcUNrcQfJyK0Z8KS4p0Ve3cjHOoF__-fBxvhbjgDFd2tQKKbtR-nn_waAqlyEALw_wcB" TargetMode="External"/><Relationship Id="rId192" Type="http://schemas.openxmlformats.org/officeDocument/2006/relationships/hyperlink" Target="https://www.biosynesis.com.br/produto/agar-base-sangue-frasco-500-g.html?utm_source=Site&amp;utm_medium=GoogleMerchant&amp;utm_campaign=GoogleMerchant&amp;gad_source=4&amp;gclid=Cj0KCQiArrCvBhCNARIsAOkAGcWxoOnjkUYddbR7ZPeLY3e7o3AGID5H4ZM4aSNS_MLd2bBDqzevgckaAi8sEALw_wcB" TargetMode="External"/><Relationship Id="rId191" Type="http://schemas.openxmlformats.org/officeDocument/2006/relationships/hyperlink" Target="https://sipac.sig.ufal.br/sipac/visualizaMaterial.do?popup=true&amp;id=28193&amp;acao=12" TargetMode="External"/><Relationship Id="rId187" Type="http://schemas.openxmlformats.org/officeDocument/2006/relationships/hyperlink" Target="https://sipac.sig.ufal.br/sipac/visualizaMaterial.do?popup=true&amp;id=27100&amp;acao=12" TargetMode="External"/><Relationship Id="rId186" Type="http://schemas.openxmlformats.org/officeDocument/2006/relationships/hyperlink" Target="https://www.lojaprlabor.com.br/produtos/agar-sabouraud-dextrose-500g/?pf=gs&amp;variant=559525877&amp;gad_source=1&amp;gclid=CjwKCAjw48-vBhBbEiwAzqrZVAqiP1JCYV8qqBY612iSdkqocLRtHTyiKVA68Jca8tJn85dp-eX0TBoCp5oQAvD_BwE" TargetMode="External"/><Relationship Id="rId185" Type="http://schemas.openxmlformats.org/officeDocument/2006/relationships/hyperlink" Target="https://www.lojaprlabor.com.br/produtos/agar-sabouraud-dextrose-500g/?pf=gs&amp;variant=559525877&amp;gad_source=4&amp;gclid=Cj0KCQiArrCvBhCNARIsAOkAGcU2FIMHJulOQsCm-ef_61YVqRMilEHWnBlELBih4-qMDPFzOAhyphgaAkD7EALw_wcB" TargetMode="External"/><Relationship Id="rId184" Type="http://schemas.openxmlformats.org/officeDocument/2006/relationships/hyperlink" Target="https://www.neobioshop.com.br/meios-de-cultura/agar-sabouraud-dextrose-titan-frasco-500g?gad_source=4&amp;gclid=Cj0KCQiArrCvBhCNARIsAOkAGcX4qyjSlKoAhT1qoWxFEgtKqseFwbB_SGJUGsnZPJJqzybsCXYUiMkaAiTrEALw_wcB" TargetMode="External"/><Relationship Id="rId189" Type="http://schemas.openxmlformats.org/officeDocument/2006/relationships/hyperlink" Target="https://www.neobioshop.com.br/meios-de-cultura/agar-salmonella-shiguella-agar-ss-titan-frasco-500g?gad_source=4&amp;gclid=Cj0KCQiArrCvBhCNARIsAOkAGcVSieM3Rhnz1OEFQVTGDDBulLRHz3vBA1DroZ4jSgZjoEUXfi62_DcaArd1EALw_wcB" TargetMode="External"/><Relationship Id="rId188" Type="http://schemas.openxmlformats.org/officeDocument/2006/relationships/hyperlink" Target="https://docs.google.com/spreadsheets/d/1LpGqklqM1JQoULWIauj1CrRgBCYMxd6yJ6dnXxkSWnw/edit" TargetMode="External"/><Relationship Id="rId183" Type="http://schemas.openxmlformats.org/officeDocument/2006/relationships/hyperlink" Target="https://sipac.sig.ufal.br/sipac/visualizaMaterial.do?popup=true&amp;id=30621&amp;acao=12" TargetMode="External"/><Relationship Id="rId182" Type="http://schemas.openxmlformats.org/officeDocument/2006/relationships/hyperlink" Target="https://www.neobioshop.com.br/meios-de-cultura/agar-nutriente-no-2-conforme-bis-500g-codigo-tm-798-marca-titan?gad_source=4&amp;gclid=Cj0KCQiArrCvBhCNARIsAOkAGcWWOkPG8HZcfIi307OaB2IUQlahslKCF1C-4dkkoqFtvqdHCbOL06YaAt0hEALw_wcB" TargetMode="External"/><Relationship Id="rId181" Type="http://schemas.openxmlformats.org/officeDocument/2006/relationships/hyperlink" Target="https://www.acsreagentes.com.br/agar-nutriente.-frasco-500-g?utm_source=Site&amp;utm_medium=GoogleShopping&amp;utm_campaign=GooglePMax&amp;gad_source=4&amp;gclid=Cj0KCQiArrCvBhCNARIsAOkAGcWn8FV7aryWq8jeO0_WxLvA80_Vp7dnLvQ7jSb5IOOpY8nOvWk5h-caAvbsEALw_wcB" TargetMode="External"/><Relationship Id="rId180" Type="http://schemas.openxmlformats.org/officeDocument/2006/relationships/hyperlink" Target="https://www.lojaprolab.com.br/agar-nutriente-80438?utm_source=google&amp;utm_medium=feed&amp;utm_campaign=shopping&amp;gad_source=4&amp;gclid=Cj0KCQiArrCvBhCNARIsAOkAGcVmtAJKIflpgiwWTkibs3w7tBqtSsVxbeq5JBWTss0OtFmpAnDuK3QaAho0EALw_wcB" TargetMode="External"/><Relationship Id="rId176" Type="http://schemas.openxmlformats.org/officeDocument/2006/relationships/hyperlink" Target="https://www.lkpdiagnosticos.com.br/meios-de-cultura/agar-mueller-hinton-frasco-500g?parceiro=3898&amp;gad_source=4&amp;gclid=Cj0KCQiArrCvBhCNARIsAOkAGcWdivqGEThXLRhUKcOuuFK26aUnFsBlhRvNNs8WhURFIk-cEGdEoU0aAvyLEALw_wcB" TargetMode="External"/><Relationship Id="rId175" Type="http://schemas.openxmlformats.org/officeDocument/2006/relationships/hyperlink" Target="https://sipac.sig.ufal.br/sipac/visualizaMaterial.do?popup=true&amp;id=23010&amp;acao=12" TargetMode="External"/><Relationship Id="rId174" Type="http://schemas.openxmlformats.org/officeDocument/2006/relationships/hyperlink" Target="https://www.lkpdiagnosticos.com.br/meios-de-cultura/k25-610028-agar-macconkey-frasco-500g?parceiro=3898&amp;gad_source=4&amp;gclid=CjwKCAiAi6uvBhADEiwAWiyRdlNZvHjpfbYnma_WBzds_hVsuePPgTwETU8gRcne_d2zAvk3tMkhzBoCMioQAvD_BwE" TargetMode="External"/><Relationship Id="rId173" Type="http://schemas.openxmlformats.org/officeDocument/2006/relationships/hyperlink" Target="https://www.lumilabor.com.br/reagentes-e-meios/agar-mac-conkey-frasco-500g-k25-1052-kasvi?parceiro=6858&amp;gad_source=4&amp;gclid=CjwKCAiAi6uvBhADEiwAWiyRdsn7sAws3wVb9p-W9V28ki8DgpcqREq_hDPFCQbCDYoWNbjVmN6oDxoCurUQAvD_BwE" TargetMode="External"/><Relationship Id="rId179" Type="http://schemas.openxmlformats.org/officeDocument/2006/relationships/hyperlink" Target="https://sipac.sig.ufal.br/sipac/visualizaMaterial.do?popup=true&amp;id=32610&amp;acao=12" TargetMode="External"/><Relationship Id="rId178" Type="http://schemas.openxmlformats.org/officeDocument/2006/relationships/hyperlink" Target="https://www.acsreagentes.com.br/agar-mueller-hinton.-frasco-500-g?utm_source=Site&amp;utm_medium=GoogleShopping&amp;utm_campaign=GooglePMax&amp;gad_source=4&amp;gclid=Cj0KCQiArrCvBhCNARIsAOkAGcVN3e3HL_oh-FNCdH81S0OaLEdFmc75sqd5iQIDUg_zxESpCDYHuEQaAk5zEALw_wcB" TargetMode="External"/><Relationship Id="rId177" Type="http://schemas.openxmlformats.org/officeDocument/2006/relationships/hyperlink" Target="https://www.neobioshop.com.br/meios-de-cultura/agar-mueller-hinton-titan-frasco-500g?gad_source=4&amp;gclid=Cj0KCQiArrCvBhCNARIsAOkAGcXXlHDbmrABx00KX7fsTc2022Wv_m6n4Qwtv5d85YAtqf4kLNaf41EaAiUbEALw_wcB" TargetMode="External"/><Relationship Id="rId198" Type="http://schemas.openxmlformats.org/officeDocument/2006/relationships/hyperlink" Target="https://www.acsreagentes.com.br/meio-sim.-frasco-500-g?utm_source=Site&amp;utm_medium=GoogleShopping&amp;utm_campaign=GooglePMax" TargetMode="External"/><Relationship Id="rId197" Type="http://schemas.openxmlformats.org/officeDocument/2006/relationships/hyperlink" Target="https://www.dsyslab.com.br/meios-de-cultura/meio-sim-frasco-com-500-gramas-mod-k25-1514-kasvi?parceiro=7063&amp;srsltid=AfmBOor_t3uQgZJ-TOucJhWT6sApeDNcn1z52ir-WggUnmh_G6o9N0hqegM" TargetMode="External"/><Relationship Id="rId196" Type="http://schemas.openxmlformats.org/officeDocument/2006/relationships/hyperlink" Target="https://www.acsreagentes.com.br/meio-sim.-frasco-500-g?utm_source=Site&amp;utm_medium=GoogleMerchant&amp;utm_campaign=GoogleMerchant&amp;gad_source=4&amp;gclid=Cj0KCQiArrCvBhCNARIsAOkAGcXvZIPEiXZu9WoVMOXy7y2zNVR7VTBluDS9RgHkvaeyBf0tEW1QxlkaArXlEALw_wcB" TargetMode="External"/><Relationship Id="rId195" Type="http://schemas.openxmlformats.org/officeDocument/2006/relationships/hyperlink" Target="https://sipac.sig.ufal.br/sipac/visualizaMaterial.do?popup=true&amp;id=28194&amp;acao=12" TargetMode="External"/><Relationship Id="rId199" Type="http://schemas.openxmlformats.org/officeDocument/2006/relationships/hyperlink" Target="https://sipac.sig.ufal.br/sipac/visualizaMaterial.do?popup=true&amp;id=28201&amp;acao=12" TargetMode="External"/><Relationship Id="rId150" Type="http://schemas.openxmlformats.org/officeDocument/2006/relationships/hyperlink" Target="https://www.lkpdiagnosticos.com.br/meios-de-cultura/agar-cetrimide-frasco-500-g-?parceiro=3898&amp;gad_source=4&amp;gclid=CjwKCAiAi6uvBhADEiwAWiyRdj-CoEQl6vSwTzTHLrUn4ouW_WTOleSddxsehZyE_eUK9ogpa25cgxoC6GMQAvD_BwE" TargetMode="External"/><Relationship Id="rId392" Type="http://schemas.openxmlformats.org/officeDocument/2006/relationships/hyperlink" Target="https://www.lojaacscientifica.com.br/carbonato-de-magnesio-5h2o-pa?variation=13088846" TargetMode="External"/><Relationship Id="rId391" Type="http://schemas.openxmlformats.org/officeDocument/2006/relationships/hyperlink" Target="https://www.laderquimica.com.br/carbonato-de-magnesio-pa-250g-hidrocarbonato-dinamica?utm_source=Site&amp;utm_medium=GoogleShopping&amp;utm_campaign=GooglePMax&amp;srsltid=AfmBOopClDs8Kq-Eau6US1hf7Y98aUqCMxh_sptCQgDzx5FmyiOcJz4Fnyk" TargetMode="External"/><Relationship Id="rId390" Type="http://schemas.openxmlformats.org/officeDocument/2006/relationships/hyperlink" Target="https://www.eplab.com.br/carbonato-de-magnesio-bas-pa-hidroxicarb-250gr-dinamica?gad_source=4&amp;gclid=CjwKCAiAi6uvBhADEiwAWiyRdpyVZOkiJ81bO5gO995W2_CwH5PkkRmIYTcvAmv5OAaBTxaWI6_zPxoC4SkQAvD_BwE" TargetMode="External"/><Relationship Id="rId1" Type="http://schemas.openxmlformats.org/officeDocument/2006/relationships/hyperlink" Target="https://sipac.sig.ufal.br/sipac/visualizaMaterial.do?popup=true&amp;id=23809&amp;acao=12" TargetMode="External"/><Relationship Id="rId2" Type="http://schemas.openxmlformats.org/officeDocument/2006/relationships/hyperlink" Target="https://sipac.sig.ufal.br/sipac/visualizaMaterial.do?popup=true&amp;id=23074&amp;acao=12" TargetMode="External"/><Relationship Id="rId3" Type="http://schemas.openxmlformats.org/officeDocument/2006/relationships/hyperlink" Target="https://www.orionprodutoscientificos.com.br/acetato-de-amonio-p-a-acs-500-g-fabricante-neon?utm_source=Site&amp;utm_medium=GoogleMerchant&amp;utm_campaign=GoogleMerchant" TargetMode="External"/><Relationship Id="rId149" Type="http://schemas.openxmlformats.org/officeDocument/2006/relationships/hyperlink" Target="https://www.prismalab.com.br/meios-de-cultura/agar-cetrimide-frasco-500g-k25-1102-kasvi?parceiro=1805&amp;gad_source=4&amp;gclid=CjwKCAiAi6uvBhADEiwAWiyRdjKd-LCKg8SooVs0lUP3qXpFkTgfHqTTjzq79gS1XEcUiubWtw-uoxoC8k0QAvD_BwE" TargetMode="External"/><Relationship Id="rId4" Type="http://schemas.openxmlformats.org/officeDocument/2006/relationships/hyperlink" Target="https://www.bclab.com.br/quimicos-reagentes/acetato-de-amonio-pa-acs-exodo?variant_id=63" TargetMode="External"/><Relationship Id="rId148" Type="http://schemas.openxmlformats.org/officeDocument/2006/relationships/hyperlink" Target="https://www.lojaprolab.com.br/agar-cetrimide-80402?utm_source=google&amp;utm_medium=feed&amp;utm_campaign=shopping&amp;gad_source=4&amp;gclid=CjwKCAiAi6uvBhADEiwAWiyRdognyMpI70_Mzv84e5V6H9A2qahQcSB7gET2LUVitJ1ojxmQfaEu5RoC8swQAvD_BwE" TargetMode="External"/><Relationship Id="rId9" Type="http://schemas.openxmlformats.org/officeDocument/2006/relationships/hyperlink" Target="https://www.labimport.com.br/reagentes/reagentes-e-solventes/acetato-de-calcio-h2o-monohidratado-pa-1kg-11583" TargetMode="External"/><Relationship Id="rId143" Type="http://schemas.openxmlformats.org/officeDocument/2006/relationships/hyperlink" Target="https://www.orionprodutoscientificos.com.br/agar-batata-dextrose-frasco-500-g-kasvi?utm_source=Site&amp;utm_medium=GoogleMerchant&amp;utm_campaign=GoogleMerchant&amp;gad_source=4&amp;gclid=CjwKCAiAi6uvBhADEiwAWiyRdu1uDkOkxCgoNmgaIYw5tzi6bTiEYKYJhnADZ62UvEQnUM6FW94THRoCGbIQAvD_BwE" TargetMode="External"/><Relationship Id="rId385" Type="http://schemas.openxmlformats.org/officeDocument/2006/relationships/hyperlink" Target="https://sipac.sig.ufal.br/sipac/visualizaMaterial.do?popup=true&amp;id=23704&amp;acao=12" TargetMode="External"/><Relationship Id="rId142" Type="http://schemas.openxmlformats.org/officeDocument/2006/relationships/hyperlink" Target="https://www.lumilabor.com.br/reagentes-e-meios/agar-batata-dextrose-frasco-500g-ref-k25-1022-kasvi?parceiro=6858&amp;gad_source=4&amp;gclid=CjwKCAiAi6uvBhADEiwAWiyRdnduehRUwBP7CgcqFVeGfaDE1AX5D_PgwDcAYjjIoyQ_gM5ddVNDnxoCB2cQAvD_BwE" TargetMode="External"/><Relationship Id="rId384" Type="http://schemas.openxmlformats.org/officeDocument/2006/relationships/hyperlink" Target="https://www.lojaprolab.com.br/carbonato-de-estroncio-pa-81317" TargetMode="External"/><Relationship Id="rId141" Type="http://schemas.openxmlformats.org/officeDocument/2006/relationships/hyperlink" Target="https://www.lojanetlab.com.br/meios-de-cultura/agar/agar-batata-dextrose-frasco-500g-ref-k25-610102-kasvi?parceiro=7105&amp;gad_source=4&amp;gclid=CjwKCAiAi6uvBhADEiwAWiyRdkvSSBdrw3eQl9zpGV1kyvCOAPq25Nh_HcP0yE-ZB6vTrDf2JxzuKxoCcwQQAvD_BwE" TargetMode="External"/><Relationship Id="rId383" Type="http://schemas.openxmlformats.org/officeDocument/2006/relationships/hyperlink" Target="https://www.lojanetlab.com.br/reagentes/pa/carbonato-de-estroncio-pa" TargetMode="External"/><Relationship Id="rId140" Type="http://schemas.openxmlformats.org/officeDocument/2006/relationships/hyperlink" Target="https://sipac.sig.ufal.br/sipac/visualizaMaterial.do?popup=true&amp;id=23067&amp;acao=12" TargetMode="External"/><Relationship Id="rId382" Type="http://schemas.openxmlformats.org/officeDocument/2006/relationships/hyperlink" Target="https://www.orionprodutoscientificos.com.br/carbonato-de-estroncio-pa-500g-exodo-cientifica?utm_source=Site&amp;utm_medium=GoogleMerchant&amp;utm_campaign=GoogleMerchant&amp;gad_source=4&amp;gclid=CjwKCAiAi6uvBhADEiwAWiyRdhE7ntVa8vLdv9_a2bveJhk6hnRwhC22rJGkCGVz_KfeXnjIGrxj5BoCjYEQAvD_BwE" TargetMode="External"/><Relationship Id="rId5" Type="http://schemas.openxmlformats.org/officeDocument/2006/relationships/hyperlink" Target="https://www.labimport.com.br/reagentes/reagentes-e-solventes/acetato-de-amonio-pa-acs-1kg-11577" TargetMode="External"/><Relationship Id="rId147" Type="http://schemas.openxmlformats.org/officeDocument/2006/relationships/hyperlink" Target="https://sipac.sig.ufal.br/sipac/visualizaMaterial.do?popup=true&amp;id=25892&amp;acao=12" TargetMode="External"/><Relationship Id="rId389" Type="http://schemas.openxmlformats.org/officeDocument/2006/relationships/hyperlink" Target="https://sipac.sig.ufal.br/sipac/visualizaMaterial.do?popup=true&amp;id=23705&amp;acao=12" TargetMode="External"/><Relationship Id="rId6" Type="http://schemas.openxmlformats.org/officeDocument/2006/relationships/hyperlink" Target="https://sipac.sig.ufal.br/sipac/visualizaMaterial.do?popup=true&amp;id=22671&amp;acao=12" TargetMode="External"/><Relationship Id="rId146" Type="http://schemas.openxmlformats.org/officeDocument/2006/relationships/hyperlink" Target="https://www.dsyslab.com.br/meios-de-cultura/agar-em-po-desidratado/agar-bile-esculina-frasco-com-500-gramas-mod-m972-500g-himedia-velho?parceiro=7063&amp;srsltid=AfmBOoq-CJuSHCZu2_WQuVJGxOfztQ8UpRa5EheEi0_ifPWmvPh18y0zlII" TargetMode="External"/><Relationship Id="rId388" Type="http://schemas.openxmlformats.org/officeDocument/2006/relationships/hyperlink" Target="https://www.lojalinklab.com.br/carbonato-de-litio-pa-250g-sem-controle?parceiro=1142" TargetMode="External"/><Relationship Id="rId7" Type="http://schemas.openxmlformats.org/officeDocument/2006/relationships/hyperlink" Target="https://www.orionprodutoscientificos.com.br/acetato-de-calcio-h2o-monohidratado-pa-1kg-exodo-cientifica" TargetMode="External"/><Relationship Id="rId145" Type="http://schemas.openxmlformats.org/officeDocument/2006/relationships/hyperlink" Target="https://www.orionprodutoscientificos.com.br/agar-bile-esculina-frasco-500g-himedia?utm_source=Site&amp;utm_medium=GoogleMerchant&amp;utm_campaign=GoogleMerchant&amp;gad_source=4&amp;gclid=CjwKCAiAi6uvBhADEiwAWiyRdkvk_VCE2UrvpJVAqiF769uHBC6azme_MmQGDz75c4tUNxX9hjBT_BoClzgQAvD_BwE" TargetMode="External"/><Relationship Id="rId387" Type="http://schemas.openxmlformats.org/officeDocument/2006/relationships/hyperlink" Target="https://www.lojaacscientifica.com.br/carbonato-de-litio-pa" TargetMode="External"/><Relationship Id="rId8" Type="http://schemas.openxmlformats.org/officeDocument/2006/relationships/hyperlink" Target="https://www.bclab.com.br/quimicos-reagentes/acetato-de-calcio-h2o-pa-exodo?variant_id=81" TargetMode="External"/><Relationship Id="rId144" Type="http://schemas.openxmlformats.org/officeDocument/2006/relationships/hyperlink" Target="https://sipac.sig.ufal.br/sipac/visualizaMaterial.do?popup=true&amp;id=25889&amp;acao=12" TargetMode="External"/><Relationship Id="rId386" Type="http://schemas.openxmlformats.org/officeDocument/2006/relationships/hyperlink" Target="https://www.orionprodutoscientificos.com.br/carbonato-de-litio-pa-250g-exodo-cientifica?utm_source=Site&amp;utm_medium=GoogleMerchant&amp;utm_campaign=GoogleMerchant&amp;gad_source=4&amp;gclid=CjwKCAiAi6uvBhADEiwAWiyRdmQB--jkfX_gsx3Bwhh2dXZAHSEhXZ6MkVEsRZnBl_DIloQem65xzRoCK3gQAvD_BwE" TargetMode="External"/><Relationship Id="rId381" Type="http://schemas.openxmlformats.org/officeDocument/2006/relationships/hyperlink" Target="https://sipac.sig.ufal.br/sipac/visualizaMaterial.do?popup=true&amp;id=30771&amp;acao=12" TargetMode="External"/><Relationship Id="rId380" Type="http://schemas.openxmlformats.org/officeDocument/2006/relationships/hyperlink" Target="https://www.lojaacscientifica.com.br/carbonato-de-calcio-pa?variation=13088840" TargetMode="External"/><Relationship Id="rId139" Type="http://schemas.openxmlformats.org/officeDocument/2006/relationships/hyperlink" Target="https://www.lojaprolab.com.br/agar-base-columbia-80409?utm_source=google&amp;utm_medium=feed&amp;utm_campaign=shopping&amp;gad_source=4&amp;gclid=CjwKCAiAi6uvBhADEiwAWiyRdtgeTrIbdzfLpbWwldJ285aJLA37Rnpn16E6D2E_p3ZELvYe3htXuRoCp1IQAvD_BwE" TargetMode="External"/><Relationship Id="rId138" Type="http://schemas.openxmlformats.org/officeDocument/2006/relationships/hyperlink" Target="https://www.prismalab.com.br/meios-de-cultura/agar-base-columbia-frasco-500g-k25-1104-kasvi?parceiro=1805&amp;gad_source=4&amp;gclid=CjwKCAiAi6uvBhADEiwAWiyRdoE2nOQ2RvtwSg-D8wm0yM1Ud63h_FPZOtO3Yi575cIO2Q-AtrUU8hoCGJsQAvD_BwE" TargetMode="External"/><Relationship Id="rId137" Type="http://schemas.openxmlformats.org/officeDocument/2006/relationships/hyperlink" Target="https://www.forlabexpress.com.br/agar-base-columbia-500g-himedia/?gad_source=4&amp;gclid=CjwKCAiAi6uvBhADEiwAWiyRdgheuuwfrcdKC7R_qYsmxlkpKYmkKddoHiSU5Q5zMgUrJKr2Z2dVEhoCLOgQAvD_BwE" TargetMode="External"/><Relationship Id="rId379" Type="http://schemas.openxmlformats.org/officeDocument/2006/relationships/hyperlink" Target="https://www.orionprodutoscientificos.com.br/carbonato-de-calcio-p-a-500-g-fabricante-neon?utm_source=Site&amp;utm_medium=GoogleMerchant&amp;utm_campaign=GoogleMerchant" TargetMode="External"/><Relationship Id="rId1080" Type="http://schemas.openxmlformats.org/officeDocument/2006/relationships/hyperlink" Target="https://www.magazineluiza.com.br/espuma-de-poliuretano-a-b-kit-02kg-resimaker/p/daeje05723/fs/afer/?seller_id=resimaker&amp;srsltid=AfmBOoowKLhmAcwRlg77RLZHFDI-mz8bv8wPj1v4xwx8H2l0x5pM0ZgHzsE" TargetMode="External"/><Relationship Id="rId1081" Type="http://schemas.openxmlformats.org/officeDocument/2006/relationships/hyperlink" Target="https://www.shoptime.com.br/produto/7319757195?opn=GOOGLEXML&amp;offerId=643e9993579fbc8d91959dfd&amp;srsltid=AfmBOooetEiGcEYbbmYlSJy6_dkI1E5QusY94z_QnNKty2yWkGSLyMmvkPc" TargetMode="External"/><Relationship Id="rId1082" Type="http://schemas.openxmlformats.org/officeDocument/2006/relationships/hyperlink" Target="https://www.dsyslab.com.br/tris-hydrochloride-frasco-1-kg-mod-mb030-1kg-himedia?parceiro=7063&amp;srsltid=AfmBOorSJ0Z5c2wVxNiSHXvbt-Geg9rDXkxkKJ-7Arf-dTV9iU12bvuc7og" TargetMode="External"/><Relationship Id="rId1083" Type="http://schemas.openxmlformats.org/officeDocument/2006/relationships/drawing" Target="../drawings/drawing1.xml"/><Relationship Id="rId132" Type="http://schemas.openxmlformats.org/officeDocument/2006/relationships/hyperlink" Target="https://sipac.sig.ufal.br/sipac/visualizaMaterial.do?popup=true&amp;id=25888&amp;acao=12" TargetMode="External"/><Relationship Id="rId374" Type="http://schemas.openxmlformats.org/officeDocument/2006/relationships/hyperlink" Target="https://www.labimport.com.br/reagentes/carbonato-de-bario/carbonato-de-bario-pa-250g" TargetMode="External"/><Relationship Id="rId131" Type="http://schemas.openxmlformats.org/officeDocument/2006/relationships/hyperlink" Target="https://www.eplab.com.br/laboratorio/consumo/meio-de-cultura/agar-bacteriologico-frasco-500-g-k25-1800?gad_source=4&amp;gclid=CjwKCAiAi6uvBhADEiwAWiyRdtAEadNh7WiR5T-CsFooBGEbJerZzgpjl7NWMCi7tsBFXWxLr8n1qxoCeH0QAvD_BwE" TargetMode="External"/><Relationship Id="rId373" Type="http://schemas.openxmlformats.org/officeDocument/2006/relationships/hyperlink" Target="https://sipac.sig.ufal.br/sipac/visualizaMaterial.do?popup=true&amp;id=23699&amp;acao=12" TargetMode="External"/><Relationship Id="rId130" Type="http://schemas.openxmlformats.org/officeDocument/2006/relationships/hyperlink" Target="https://www.lojaprolab.com.br/agar-bacteriologico-80390?utm_source=google&amp;utm_medium=feed&amp;utm_campaign=shopping&amp;gad_source=4&amp;gclid=CjwKCAiAi6uvBhADEiwAWiyRdrIbUTwhGJkYQjgHKn0hW7LfioAjoitZTKQfGzfdIibh4ofranOlBBoCA10QAvD_BwE" TargetMode="External"/><Relationship Id="rId372" Type="http://schemas.openxmlformats.org/officeDocument/2006/relationships/hyperlink" Target="https://www.lojalinklab.com.br/carbonato-de-amonio-pa-acs-500g-sem-controle?parceiro=1142" TargetMode="External"/><Relationship Id="rId371" Type="http://schemas.openxmlformats.org/officeDocument/2006/relationships/hyperlink" Target="https://www.lojaacscientifica.com.br/carbonato-de-amonio-pa-acs-embalagem-500g" TargetMode="External"/><Relationship Id="rId136" Type="http://schemas.openxmlformats.org/officeDocument/2006/relationships/hyperlink" Target="https://sipac.sig.ufal.br/sipac/visualizaMaterial.do?popup=true&amp;id=28223&amp;acao=12" TargetMode="External"/><Relationship Id="rId378" Type="http://schemas.openxmlformats.org/officeDocument/2006/relationships/hyperlink" Target="https://www.labimport.com.br/reagentes/carbonato-de-calcio/carbonato-de-calcio-pa-500g-11777" TargetMode="External"/><Relationship Id="rId135" Type="http://schemas.openxmlformats.org/officeDocument/2006/relationships/hyperlink" Target="https://www.lojaprolab.com.br/agar-baird-parker-80391?utm_source=google&amp;utm_medium=feed&amp;utm_campaign=shopping&amp;gad_source=4&amp;gclid=CjwKCAiAi6uvBhADEiwAWiyRdrzFQPT7MB0yeoSpl0RygsMo0JoUaJ6E4j0OcSTC1pAf_At3Fmad3hoCa0EQAvD_BwE" TargetMode="External"/><Relationship Id="rId377" Type="http://schemas.openxmlformats.org/officeDocument/2006/relationships/hyperlink" Target="https://sipac.sig.ufal.br/sipac/visualizaMaterial.do?popup=true&amp;id=23703&amp;acao=12" TargetMode="External"/><Relationship Id="rId134" Type="http://schemas.openxmlformats.org/officeDocument/2006/relationships/hyperlink" Target="https://www.neobioshop.com.br/meios-de-cultura/base-de-agar-baird-parker-titan-frasco-500g?gad_source=4&amp;gclid=CjwKCAiAi6uvBhADEiwAWiyRdghEy3hCsutiB9PD7RTXMVJeZ8SmNBPwLWZDGHdPSirLRdkeFYlUVRoC4z4QAvD_BwE" TargetMode="External"/><Relationship Id="rId376" Type="http://schemas.openxmlformats.org/officeDocument/2006/relationships/hyperlink" Target="https://www.orionprodutoscientificos.com.br/carbonato-de-bario-pa-250g-exodo-cientifica?utm_source=Site&amp;utm_medium=GoogleMerchant&amp;utm_campaign=GoogleMerchant" TargetMode="External"/><Relationship Id="rId133" Type="http://schemas.openxmlformats.org/officeDocument/2006/relationships/hyperlink" Target="https://www.cheeselab.com.br/agar-baird-parker-merck---500g/p?idsku=282&amp;gad_source=4&amp;gclid=CjwKCAiAi6uvBhADEiwAWiyRdnVpo8VDcMIYSyc5nPcScJXORDwx_E17kPBxiobbdrsJgkeZD8kieBoCPQoQAvD_BwE" TargetMode="External"/><Relationship Id="rId375" Type="http://schemas.openxmlformats.org/officeDocument/2006/relationships/hyperlink" Target="https://www.lojalinklab.com.br/carbonato-de-bario-pa-250g-sem-controle?parceiro=1142" TargetMode="External"/><Relationship Id="rId172" Type="http://schemas.openxmlformats.org/officeDocument/2006/relationships/hyperlink" Target="https://www.acsreagentes.com.br/agar-macconkey.-frasco-500-g?utm_source=Site&amp;utm_medium=GoogleMerchant&amp;utm_campaign=GoogleMerchant&amp;gad_source=4&amp;gclid=CjwKCAiAi6uvBhADEiwAWiyRdmx8EpFUw4DYwhKoAdClM6gn5mfsBrLBejnqjlFIVNaUgfBYejmJphoC-0gQAvD_BwE" TargetMode="External"/><Relationship Id="rId171" Type="http://schemas.openxmlformats.org/officeDocument/2006/relationships/hyperlink" Target="https://sipac.sig.ufal.br/sipac/visualizaMaterial.do?popup=true&amp;id=25895&amp;acao=12" TargetMode="External"/><Relationship Id="rId170" Type="http://schemas.openxmlformats.org/officeDocument/2006/relationships/hyperlink" Target="https://www.lojaprolab.com.br/agar-lisina-ferro-80422?utm_source=google&amp;utm_medium=feed&amp;utm_campaign=shopping&amp;gad_source=4&amp;gclid=CjwKCAiAi6uvBhADEiwAWiyRdk8UCBTn9Rx-ZsIU9fCt3-HrCC7o89cQGN9Mbfa9HYkmM7e-86VM-xoCq7wQAvD_BwE" TargetMode="External"/><Relationship Id="rId165" Type="http://schemas.openxmlformats.org/officeDocument/2006/relationships/hyperlink" Target="https://www.lojaprolab.com.br/agar-hektoen-enterico-80416?utm_source=google&amp;utm_medium=feed&amp;utm_campaign=shopping&amp;gad_source=4&amp;gclid=CjwKCAiAi6uvBhADEiwAWiyRdp2gbddP4NRB11h1qzPO4_-xska3rncJx9rytwvgbku90HP9FMIdExoClo0QAvD_BwE" TargetMode="External"/><Relationship Id="rId164" Type="http://schemas.openxmlformats.org/officeDocument/2006/relationships/hyperlink" Target="https://www.eplab.com.br/laboratorio/consumo/meio-de-cultura/agar-hektoen-enterico-frasco-500g-k25-1030?gad_source=4&amp;gclid=CjwKCAiAi6uvBhADEiwAWiyRdlf8hLLhqzv4hLF4ykhNkCKYaevMTJje-rmt27SMum3qp5TuT13aAxoCCacQAvD_BwE" TargetMode="External"/><Relationship Id="rId163" Type="http://schemas.openxmlformats.org/officeDocument/2006/relationships/hyperlink" Target="https://sipac.sig.ufal.br/sipac/visualizaMaterial.do?popup=true&amp;id=32645&amp;acao=12" TargetMode="External"/><Relationship Id="rId162" Type="http://schemas.openxmlformats.org/officeDocument/2006/relationships/hyperlink" Target="https://www.lumilabor.com.br/reagentes-e-meios/agar-levine-emb-eosin-methylene-blue-frasco-500g-k25-1050-kasvi?parceiro=6858&amp;gad_source=4&amp;gclid=CjwKCAiAi6uvBhADEiwAWiyRdmXuNpdhxq2jTlBClTjBmqVuo0o3adQZhxyWAF6_jwPFTRLK_DrTnxoCI48QAvD_BwE" TargetMode="External"/><Relationship Id="rId169" Type="http://schemas.openxmlformats.org/officeDocument/2006/relationships/hyperlink" Target="https://www.orionprodutoscientificos.com.br/agar-lisina-ferro-lia-frasco-500-g-kasvi?utm_source=Site&amp;utm_medium=GoogleMerchant&amp;utm_campaign=GoogleMerchant&amp;gad_source=4&amp;gclid=CjwKCAiAi6uvBhADEiwAWiyRdrA5Yb3nOJRlnmmVFpvfqsjTFIR1so-7m1XYSajPRpFOfbEkoZ6qARoCpkEQAvD_BwE" TargetMode="External"/><Relationship Id="rId168" Type="http://schemas.openxmlformats.org/officeDocument/2006/relationships/hyperlink" Target="https://www.prismalab.com.br/meios-de-cultura/agar-lisina-ferro-lia-frasco-500g-k25-1044-kasvi?parceiro=1805&amp;gad_source=4&amp;gclid=CjwKCAiAi6uvBhADEiwAWiyRdhHWzHlioxwszYovezEFDEOGjuYRScySmNc7EshIDsgWLkMv1Jpz5xoChvgQAvD_BwE" TargetMode="External"/><Relationship Id="rId167" Type="http://schemas.openxmlformats.org/officeDocument/2006/relationships/hyperlink" Target="https://sipac.sig.ufal.br/sipac/visualizaMaterial.do?popup=true&amp;id=25894&amp;acao=12" TargetMode="External"/><Relationship Id="rId166" Type="http://schemas.openxmlformats.org/officeDocument/2006/relationships/hyperlink" Target="https://www.neobioshop.com.br/meios-de-cultura/agar-hektoen-enterico-titan-frasco-500g?gad_source=4&amp;gclid=CjwKCAiAi6uvBhADEiwAWiyRdmVWS8EvCCtX5oMvSlmCeFL-n4KK12fyfQKCpkV5_p5i3xsHFaaXfxoCCHwQAvD_BwE" TargetMode="External"/><Relationship Id="rId161" Type="http://schemas.openxmlformats.org/officeDocument/2006/relationships/hyperlink" Target="https://www.acsreagentes.com.br/agar-levine-emb.-frasco-500-g?utm_source=Site&amp;utm_medium=GoogleShopping&amp;utm_campaign=GooglePMax&amp;gad_source=4&amp;gclid=CjwKCAiAi6uvBhADEiwAWiyRdugnh24vAqNIy_XlSqYSZsiuaqWVxjSJ6s3CdLf2uJw2ivuP2elduhoCjpgQAvD_BwE" TargetMode="External"/><Relationship Id="rId160" Type="http://schemas.openxmlformats.org/officeDocument/2006/relationships/hyperlink" Target="https://www.prismalab.com.br/meios-de-cultura/agar-levine-emb-frasco-500g-k25-1050-kasvi?parceiro=1805&amp;gad_source=4&amp;gclid=CjwKCAiAi6uvBhADEiwAWiyRdjRKvdNu0qfPvy8oQVxRxWoNAh_GzAZGwnE6tUlA7VQIrkDmxora-RoCIvIQAvD_BwE" TargetMode="External"/><Relationship Id="rId159" Type="http://schemas.openxmlformats.org/officeDocument/2006/relationships/hyperlink" Target="https://sipac.sig.ufal.br/sipac/visualizaMaterial.do?popup=true&amp;id=30968&amp;acao=12" TargetMode="External"/><Relationship Id="rId154" Type="http://schemas.openxmlformats.org/officeDocument/2006/relationships/hyperlink" Target="https://docs.google.com/spreadsheets/d/1LpGqklqM1JQoULWIauj1CrRgBCYMxd6yJ6dnXxkSWnw/edit" TargetMode="External"/><Relationship Id="rId396" Type="http://schemas.openxmlformats.org/officeDocument/2006/relationships/hyperlink" Target="https://www.orionprodutoscientificos.com.br/carbonato-de-potassio-anidro-pa-500g-exodo-cientifica" TargetMode="External"/><Relationship Id="rId153" Type="http://schemas.openxmlformats.org/officeDocument/2006/relationships/hyperlink" Target="https://www.neobioshop.com.br/meios-de-cultura/agar-citrato-de-simmons-titan-frasco-500g?gad_source=4&amp;gclid=CjwKCAiAi6uvBhADEiwAWiyRdg0WTYvAcY6nz7G8JuCWfvalS4jOBDie21KcOsYZq0pTNkTt6-IgUBoCVHMQAvD_BwE" TargetMode="External"/><Relationship Id="rId395" Type="http://schemas.openxmlformats.org/officeDocument/2006/relationships/hyperlink" Target="https://www.lojalinklab.com.br/carbonato-de-potassio-anidro-pa-500g-controle-pc?parceiro=1142" TargetMode="External"/><Relationship Id="rId152" Type="http://schemas.openxmlformats.org/officeDocument/2006/relationships/hyperlink" Target="https://www.prismalab.com.br/meios-de-cultura/agar-citrato-simmons-frasco-500g-k25-1014-kasvi?parceiro=1805&amp;gad_source=4&amp;gclid=CjwKCAiAi6uvBhADEiwAWiyRdnK1kz6IE5el_fSc4iOV_EnADlm-QFaZRqG3_dNrLFRvudS9rNY4rBoCXEoQAvD_BwE" TargetMode="External"/><Relationship Id="rId394" Type="http://schemas.openxmlformats.org/officeDocument/2006/relationships/hyperlink" Target="https://quimisulsc.com.br/produto/carbonato-de-potassio-anidro-pa-99-500g/?srsltid=AfmBOopAmrlOYQfBrsTKjUItEdIXCQosPhahesMWQnbq3FmiVnhvgSyel6I" TargetMode="External"/><Relationship Id="rId151" Type="http://schemas.openxmlformats.org/officeDocument/2006/relationships/hyperlink" Target="https://sipac.sig.ufal.br/sipac/visualizaMaterial.do?popup=true&amp;id=23006&amp;acao=12" TargetMode="External"/><Relationship Id="rId393" Type="http://schemas.openxmlformats.org/officeDocument/2006/relationships/hyperlink" Target="https://sipac.sig.ufal.br/sipac/visualizaMaterial.do?popup=true&amp;id=23500&amp;acao=12" TargetMode="External"/><Relationship Id="rId158" Type="http://schemas.openxmlformats.org/officeDocument/2006/relationships/hyperlink" Target="https://www.orionprodutoscientificos.com.br/agar-cled-500-g-kasvi?utm_source=Site&amp;utm_medium=GoogleMerchant&amp;utm_campaign=GoogleMerchant&amp;gad_source=4&amp;gclid=CjwKCAiAi6uvBhADEiwAWiyRdiPVGFk9jjOJQbaOnky12V2p2E65GVMN9qk24cOx2Rk8utq0iTTDTxoCyJsQAvD_BwE" TargetMode="External"/><Relationship Id="rId157" Type="http://schemas.openxmlformats.org/officeDocument/2006/relationships/hyperlink" Target="https://www.laborchemiker.com.br/produto.php?cod_produto=4462898&amp;gad_source=4&amp;gclid=CjwKCAiAi6uvBhADEiwAWiyRdnZbCQHDJL-vXw6yCnNKg034j4I_-SlkbWh0knypp63qvBsIL5a8EBoCJi0QAvD_BwE" TargetMode="External"/><Relationship Id="rId399" Type="http://schemas.openxmlformats.org/officeDocument/2006/relationships/hyperlink" Target="https://www.lojalinklab.com.br/carbonato-de-sodio-decahidratado-10h2o-pa-250g-controle-pc" TargetMode="External"/><Relationship Id="rId156" Type="http://schemas.openxmlformats.org/officeDocument/2006/relationships/hyperlink" Target="https://www.prismalab.com.br/meios-de-cultura/agar-cled-frasco-500g-k25-1016-kasvi?parceiro=1805&amp;gad_source=4&amp;gclid=CjwKCAiAi6uvBhADEiwAWiyRdvq5CRs35y8TYAas2KvKG_ViyZmL_Sdn4Kr8fcXmbE1ew9hdOLUHxBoCrE8QAvD_BwE" TargetMode="External"/><Relationship Id="rId398" Type="http://schemas.openxmlformats.org/officeDocument/2006/relationships/hyperlink" Target="https://www.orionprodutoscientificos.com.br/carbonato-de-sodio-decahidratado-10h2o-pa-250g-exodo-cientifica?utm_source=Site&amp;utm_medium=GoogleMerchant&amp;utm_campaign=GoogleMerchant" TargetMode="External"/><Relationship Id="rId155" Type="http://schemas.openxmlformats.org/officeDocument/2006/relationships/hyperlink" Target="https://sipac.sig.ufal.br/sipac/visualizaMaterial.do?popup=true&amp;id=25893&amp;acao=12" TargetMode="External"/><Relationship Id="rId397" Type="http://schemas.openxmlformats.org/officeDocument/2006/relationships/hyperlink" Target="https://sipac.sig.ufal.br/sipac/visualizaMaterial.do?popup=true&amp;id=30770&amp;acao=12" TargetMode="External"/><Relationship Id="rId808" Type="http://schemas.openxmlformats.org/officeDocument/2006/relationships/hyperlink" Target="https://www.forlabexpress.com.br/oxalato-de-sodio-pa-acs-500g-acs-cientifica/?srsltid=AfmBOorKswQzKnKrhRnniwH2573nMFafykFn9uas56MbqJt0p-F9iZJFQPg" TargetMode="External"/><Relationship Id="rId807" Type="http://schemas.openxmlformats.org/officeDocument/2006/relationships/hyperlink" Target="https://www.orionprodutoscientificos.com.br/oxalato-de-sodio-pa-500g-exodo-cientifica" TargetMode="External"/><Relationship Id="rId806" Type="http://schemas.openxmlformats.org/officeDocument/2006/relationships/hyperlink" Target="https://sipac.sig.ufal.br/sipac/visualizaMaterial.do?popup=true&amp;id=23711&amp;acao=12" TargetMode="External"/><Relationship Id="rId805" Type="http://schemas.openxmlformats.org/officeDocument/2006/relationships/hyperlink" Target="https://www.lojalinklab.com.br/oxalato-de-calcio-hidratado-pa-100g-sem-controle?parceiro=1142" TargetMode="External"/><Relationship Id="rId809" Type="http://schemas.openxmlformats.org/officeDocument/2006/relationships/hyperlink" Target="https://www.orionprodutoscientificos.com.br/oxalato-de-sodio-p-a-500-g-fabricante-neon" TargetMode="External"/><Relationship Id="rId800" Type="http://schemas.openxmlformats.org/officeDocument/2006/relationships/hyperlink" Target="https://www.laderquimica.com.br/nitrato-de-zinco-pa-500g-dinamica?utm_source=Site&amp;utm_medium=GoogleShopping&amp;utm_campaign=GooglePMax&amp;srsltid=AfmBOoo5np19fwuP_f2BZvJWRFpoA-BNeTwWYlGHuqLwn947u7by2AisNhA" TargetMode="External"/><Relationship Id="rId804" Type="http://schemas.openxmlformats.org/officeDocument/2006/relationships/hyperlink" Target="https://www.lojaacscientifica.com.br/oxalato-de-calcio-hidratado-pa-embalagem-100g" TargetMode="External"/><Relationship Id="rId803" Type="http://schemas.openxmlformats.org/officeDocument/2006/relationships/hyperlink" Target="https://www.orionprodutoscientificos.com.br/oxalato-de-calcio-hidratado-pa-100g-exodo-cientifica?utm_source=Site&amp;utm_medium=GoogleMerchant&amp;utm_campaign=GoogleMerchant" TargetMode="External"/><Relationship Id="rId802" Type="http://schemas.openxmlformats.org/officeDocument/2006/relationships/hyperlink" Target="https://sipac.sig.ufal.br/sipac/visualizaMaterial.do?popup=true&amp;id=32635&amp;acao=12" TargetMode="External"/><Relationship Id="rId801" Type="http://schemas.openxmlformats.org/officeDocument/2006/relationships/hyperlink" Target="https://www.labimport.com.br/reagentes/nitrato/nitrato-de-zinco-pa-500g" TargetMode="External"/><Relationship Id="rId40" Type="http://schemas.openxmlformats.org/officeDocument/2006/relationships/hyperlink" Target="https://sipac.sig.ufal.br/sipac/visualizaMaterial.do?popup=true&amp;id=22681&amp;acao=12" TargetMode="External"/><Relationship Id="rId42" Type="http://schemas.openxmlformats.org/officeDocument/2006/relationships/hyperlink" Target="https://www.carvalhaes.net/produto/detalhes/SY01A1019.01.BJ/acido-acetico-glacial-pa-acs-100-1l" TargetMode="External"/><Relationship Id="rId41" Type="http://schemas.openxmlformats.org/officeDocument/2006/relationships/hyperlink" Target="https://www.lojalinklab.com.br/acido-acetico-glacial-pa-acs-1l-controle-pc-e-pf?parceiro=1142" TargetMode="External"/><Relationship Id="rId44" Type="http://schemas.openxmlformats.org/officeDocument/2006/relationships/hyperlink" Target="https://sipac.sig.ufal.br/sipac/visualizaMaterial.do?popup=true&amp;id=24134&amp;acao=12" TargetMode="External"/><Relationship Id="rId43" Type="http://schemas.openxmlformats.org/officeDocument/2006/relationships/hyperlink" Target="https://myhexis.com.br/index.php?option=com_movimentacao&amp;op=PROD&amp;task=detalhar&amp;produto_id=HX0269-00004" TargetMode="External"/><Relationship Id="rId46" Type="http://schemas.openxmlformats.org/officeDocument/2006/relationships/hyperlink" Target="https://www.labimport.com.br/reagentes/acido-ascorbico/acido-ascorbico-l-pa-acs-vit-c-500g" TargetMode="External"/><Relationship Id="rId45" Type="http://schemas.openxmlformats.org/officeDocument/2006/relationships/hyperlink" Target="https://www.lojasynth.com/reagentes-analiticosmaterias-primas/reagentes-analiticosmaterias-primas/acido-ascorbico-l-p-a-a-c-s-vitamina-c?variant_id=1008&amp;parceiro=2827&amp;gad_source=4&amp;gclid=CjwKCAiAxaCvBhBaEiwAvsLmWA_safFuqQA8FP2iZgqvutaWUZnXa0jN4Wi2D_tIo2yFh-C_cxkVahoCcAgQAvD_BwE" TargetMode="External"/><Relationship Id="rId509" Type="http://schemas.openxmlformats.org/officeDocument/2006/relationships/hyperlink" Target="https://sipac.sig.ufal.br/sipac/visualizaMaterial.do?popup=true&amp;id=22796&amp;acao=12" TargetMode="External"/><Relationship Id="rId508" Type="http://schemas.openxmlformats.org/officeDocument/2006/relationships/hyperlink" Target="https://www.biosynesis.com.br/produto/agar-citrato-simmons-frasco-500-g.html?utm_source=Site&amp;utm_medium=GoogleMerchant&amp;utm_campaign=GoogleMerchant&amp;gad_source=4&amp;gclid=Cj0KCQjwncWvBhD_ARIsAEb2HW9EKv0M3wz5Fb7QgRLxNjmKvQ5EwJMBFnn4HETFgk4bv_9u1b50B1kaAqgmEALw_wcB" TargetMode="External"/><Relationship Id="rId503" Type="http://schemas.openxmlformats.org/officeDocument/2006/relationships/hyperlink" Target="https://www.lojalinklab.com.br/cobre-metalico-em-po-pa-500g-sem-controle?parceiro=1142" TargetMode="External"/><Relationship Id="rId745" Type="http://schemas.openxmlformats.org/officeDocument/2006/relationships/hyperlink" Target="https://www.orionprodutoscientificos.com.br/molibdato-de-sodio-2h2o-pa-100g-fabricante-exodo-cientifica" TargetMode="External"/><Relationship Id="rId987" Type="http://schemas.openxmlformats.org/officeDocument/2006/relationships/hyperlink" Target="https://www.orionprodutoscientificos.com.br/sulfato-de-prata-pa-acs-25g-exodo-cientifica" TargetMode="External"/><Relationship Id="rId502" Type="http://schemas.openxmlformats.org/officeDocument/2006/relationships/hyperlink" Target="https://www.lojaacscientifica.com.br/cobre-metalico-em-po-pa?variation=13089032" TargetMode="External"/><Relationship Id="rId744" Type="http://schemas.openxmlformats.org/officeDocument/2006/relationships/hyperlink" Target="https://www.labimport.com.br/reagentes/molibdato/molibdato-de-sodio-2h2o-pa-100g" TargetMode="External"/><Relationship Id="rId986" Type="http://schemas.openxmlformats.org/officeDocument/2006/relationships/hyperlink" Target="https://www.forlabexpress.com.br/sulfato-de-prata-pa-acs-25g-acs-cientifica/?srsltid=AfmBOooJhdMbIrRKRS9KcaJkjSIkm1nxtMIu1dncpZsvah7EFnmXXWWi2Qw" TargetMode="External"/><Relationship Id="rId501" Type="http://schemas.openxmlformats.org/officeDocument/2006/relationships/hyperlink" Target="https://sipac.sig.ufal.br/sipac/visualizaMaterial.do?popup=true&amp;id=25144&amp;acao=12" TargetMode="External"/><Relationship Id="rId743" Type="http://schemas.openxmlformats.org/officeDocument/2006/relationships/hyperlink" Target="https://sipac.sig.ufal.br/sipac/visualizaMaterial.do?popup=true&amp;id=30420&amp;acao=12" TargetMode="External"/><Relationship Id="rId985" Type="http://schemas.openxmlformats.org/officeDocument/2006/relationships/hyperlink" Target="https://sipac.sig.ufal.br/sipac/visualizaMaterial.do?popup=true&amp;id=23682&amp;acao=12" TargetMode="External"/><Relationship Id="rId500" Type="http://schemas.openxmlformats.org/officeDocument/2006/relationships/hyperlink" Target="https://www.lojalinklab.com.br/cloroformio-pa-acs-1l-controle-pc-e-pf?parceiro=1142" TargetMode="External"/><Relationship Id="rId742" Type="http://schemas.openxmlformats.org/officeDocument/2006/relationships/hyperlink" Target="https://www.orionprodutoscientificos.com.br/molibdato-de-amonio-tetrahidratado-p-a-acs-100-g-fabricante-neon?utm_source=Site&amp;utm_medium=GoogleMerchant&amp;utm_campaign=GoogleMerchant" TargetMode="External"/><Relationship Id="rId984" Type="http://schemas.openxmlformats.org/officeDocument/2006/relationships/hyperlink" Target="https://www.lojasynth.com/reagentes-analiticosmaterias-primas/reagentes-analiticosmaterias-primas/sulfato-de-potassio-anidro-p-a-a-c-s?parceiro=2827&amp;srsltid=AfmBOorIwAU2kZAGxL6J0vuiMtp8fMymLIjrPv287kt3pXN7NcfOUSnDGJU&amp;variant_id=302661" TargetMode="External"/><Relationship Id="rId507" Type="http://schemas.openxmlformats.org/officeDocument/2006/relationships/hyperlink" Target="https://www.lumilabor.com.br/reagentes-e-meios/agar-citrato-simmons-frasco-500g-k25-1014-kasvi?parceiro=6858&amp;gad_source=4&amp;gclid=Cj0KCQjwncWvBhD_ARIsAEb2HW98BND9v-2ljvT2Ca-vYUeVBf1oTvQZYEwC8kuwV-ydsNJElNctEX0aAoOVEALw_wcB" TargetMode="External"/><Relationship Id="rId749" Type="http://schemas.openxmlformats.org/officeDocument/2006/relationships/hyperlink" Target="https://www.labimport.com.br/reagentes/naftalina/naftalina-naftaleno-ps-500g-12111" TargetMode="External"/><Relationship Id="rId506" Type="http://schemas.openxmlformats.org/officeDocument/2006/relationships/hyperlink" Target="https://www.lojaprolab.com.br/agar-citrato-simmons-80403?utm_source=google&amp;utm_medium=feed&amp;utm_campaign=shopping&amp;gad_source=4&amp;gclid=Cj0KCQjwncWvBhD_ARIsAEb2HW_YQKs35zkkqj5GFPXoPfCxSlR_lWEdEYPLT3DRma8Uu6pLHnFYQc0aAphDEALw_wcB" TargetMode="External"/><Relationship Id="rId748" Type="http://schemas.openxmlformats.org/officeDocument/2006/relationships/hyperlink" Target="https://www.orionprodutoscientificos.com.br/naftaleno-p-s-500-g-fabricante-neon" TargetMode="External"/><Relationship Id="rId505" Type="http://schemas.openxmlformats.org/officeDocument/2006/relationships/hyperlink" Target="https://sipac.sig.ufal.br/sipac/visualizaMaterial.do?popup=true&amp;id=28214&amp;acao=12" TargetMode="External"/><Relationship Id="rId747" Type="http://schemas.openxmlformats.org/officeDocument/2006/relationships/hyperlink" Target="https://sipac.sig.ufal.br/sipac/visualizaMaterial.do?popup=true&amp;id=23470&amp;acao=12" TargetMode="External"/><Relationship Id="rId989" Type="http://schemas.openxmlformats.org/officeDocument/2006/relationships/hyperlink" Target="https://sipac.sig.ufal.br/sipac/visualizaMaterial.do?popup=true&amp;id=1751&amp;acao=12" TargetMode="External"/><Relationship Id="rId504" Type="http://schemas.openxmlformats.org/officeDocument/2006/relationships/hyperlink" Target="https://sipac.sig.ufal.br/sipac/visualizaMaterial.do?popup=true&amp;id=33039&amp;acao=12" TargetMode="External"/><Relationship Id="rId746" Type="http://schemas.openxmlformats.org/officeDocument/2006/relationships/hyperlink" Target="https://www.lojaacscientifica.com.br/molibdato-de-sodio-2h2o-pa-acs" TargetMode="External"/><Relationship Id="rId988" Type="http://schemas.openxmlformats.org/officeDocument/2006/relationships/hyperlink" Target="https://www.lojaacscientifica.com.br/sulfato-de-prata-pa-acs?variation=14180746" TargetMode="External"/><Relationship Id="rId48" Type="http://schemas.openxmlformats.org/officeDocument/2006/relationships/hyperlink" Target="https://sipac.sig.ufal.br/sipac/visualizaMaterial.do?popup=true&amp;id=22683&amp;acao=12" TargetMode="External"/><Relationship Id="rId47" Type="http://schemas.openxmlformats.org/officeDocument/2006/relationships/hyperlink" Target="https://www.orionprodutoscientificos.com.br/acido-l-ascorbico-p-a-500-g-fabricante-neon?utm_source=Site&amp;utm_medium=GoogleMerchant&amp;utm_campaign=GoogleMerchant" TargetMode="External"/><Relationship Id="rId49" Type="http://schemas.openxmlformats.org/officeDocument/2006/relationships/hyperlink" Target="https://www.carvalhaes.net/produto/detalhes/SY01A1024.01.AH/acido-benzoico-pa-acs-100-1kg" TargetMode="External"/><Relationship Id="rId741" Type="http://schemas.openxmlformats.org/officeDocument/2006/relationships/hyperlink" Target="https://www.lojaacscientifica.com.br/molibdato-de-amonio-4h2o-pa-acs" TargetMode="External"/><Relationship Id="rId983" Type="http://schemas.openxmlformats.org/officeDocument/2006/relationships/hyperlink" Target="https://www.lojaacscientifica.com.br/sulfato-de-potassio-pa-acs?variation=14180734" TargetMode="External"/><Relationship Id="rId740" Type="http://schemas.openxmlformats.org/officeDocument/2006/relationships/hyperlink" Target="https://www.labimport.com.br/reagentes/molibdato/molibdato-de-amonio-tetrahidratado-pa-acs-100g" TargetMode="External"/><Relationship Id="rId982" Type="http://schemas.openxmlformats.org/officeDocument/2006/relationships/hyperlink" Target="https://www.labimport.com.br/reagentes/sulfato-de-potassio/sulfato-de-potassio-pa-acs-1kg-12327" TargetMode="External"/><Relationship Id="rId981" Type="http://schemas.openxmlformats.org/officeDocument/2006/relationships/hyperlink" Target="https://sipac.sig.ufal.br/sipac/visualizaMaterial.do?popup=true&amp;id=23683&amp;acao=12" TargetMode="External"/><Relationship Id="rId980" Type="http://schemas.openxmlformats.org/officeDocument/2006/relationships/hyperlink" Target="https://www.orionprodutoscientificos.com.br/sulfato-de-mercurio-ii-ico-98-pa-acs-100g-exodo-cientifica" TargetMode="External"/><Relationship Id="rId31" Type="http://schemas.openxmlformats.org/officeDocument/2006/relationships/hyperlink" Target="https://myhexis.com.br/index.php?option=com_movimentacao&amp;op=PROD&amp;task=detalhar&amp;produto_id=HX0178-00001" TargetMode="External"/><Relationship Id="rId30" Type="http://schemas.openxmlformats.org/officeDocument/2006/relationships/hyperlink" Target="https://www.carvalhaes.net/produto/detalhes/SY01A1017.01.BJ/acetona-pa-acs-100-1l" TargetMode="External"/><Relationship Id="rId33" Type="http://schemas.openxmlformats.org/officeDocument/2006/relationships/hyperlink" Target="https://sipac.sig.ufal.br/sipac/visualizaMaterial.do?popup=true&amp;id=22679&amp;acao=12" TargetMode="External"/><Relationship Id="rId32" Type="http://schemas.openxmlformats.org/officeDocument/2006/relationships/hyperlink" Target="https://sipac.sig.ufal.br/sipac/visualizaMaterial.do?popup=true&amp;id=22676&amp;acao=12" TargetMode="External"/><Relationship Id="rId35" Type="http://schemas.openxmlformats.org/officeDocument/2006/relationships/hyperlink" Target="https://www.labimport.com.br/reagentes/acetonitrila/acetonitrila-uvhplc-espectoscopico-plus-1-l" TargetMode="External"/><Relationship Id="rId34" Type="http://schemas.openxmlformats.org/officeDocument/2006/relationships/hyperlink" Target="https://www.lojaacscientifica.com.br/acetonitrila-uvhplc-espectrosc?variation=14181760" TargetMode="External"/><Relationship Id="rId739" Type="http://schemas.openxmlformats.org/officeDocument/2006/relationships/hyperlink" Target="https://sipac.sig.ufal.br/sipac/visualizaMaterial.do?popup=true&amp;id=23628&amp;acao=12" TargetMode="External"/><Relationship Id="rId734" Type="http://schemas.openxmlformats.org/officeDocument/2006/relationships/hyperlink" Target="https://www.lojaacscientifica.com.br/magnesio-metalico-em-fita-aprox3mx02mm-purissimo-embalagem-25g" TargetMode="External"/><Relationship Id="rId976" Type="http://schemas.openxmlformats.org/officeDocument/2006/relationships/hyperlink" Target="https://www.lojasynth.com/reagentes-analiticosmaterias-primas/reagentes-analiticosmaterias-primas/sulfato-de-manganes-oso-h2o-p-a?parceiro=2827&amp;variant_id=301555&amp;srsltid=AfmBOop111pfV3vnPXt1k9Ok1ElK-loBU8_FR2ZLdsyHPhUsKEspygaqP_0" TargetMode="External"/><Relationship Id="rId733" Type="http://schemas.openxmlformats.org/officeDocument/2006/relationships/hyperlink" Target="https://www.labimport.com.br/reagentes/magnesio/magnesio-metalico-em-fita-purissimo-25g" TargetMode="External"/><Relationship Id="rId975" Type="http://schemas.openxmlformats.org/officeDocument/2006/relationships/hyperlink" Target="https://www.lojaacscientifica.com.br/sulfato-de-manganes-ii-oso-1h2o-pa?variation=14180687" TargetMode="External"/><Relationship Id="rId732" Type="http://schemas.openxmlformats.org/officeDocument/2006/relationships/hyperlink" Target="https://sipac.sig.ufal.br/sipac/visualizaMaterial.do?popup=true&amp;id=24912&amp;acao=12" TargetMode="External"/><Relationship Id="rId974" Type="http://schemas.openxmlformats.org/officeDocument/2006/relationships/hyperlink" Target="https://www.ciruvix.com.br/sulfato-de-manganes-oso-1h2o-pa-acs-500g-dinamica" TargetMode="External"/><Relationship Id="rId731" Type="http://schemas.openxmlformats.org/officeDocument/2006/relationships/hyperlink" Target="https://www.lojaacscientifica.com.br/iodo-iodeto-lugol-forte-solucao-5-aquosa" TargetMode="External"/><Relationship Id="rId973" Type="http://schemas.openxmlformats.org/officeDocument/2006/relationships/hyperlink" Target="https://sipac.sig.ufal.br/sipac/visualizaMaterial.do?popup=true&amp;id=23685&amp;acao=12" TargetMode="External"/><Relationship Id="rId738" Type="http://schemas.openxmlformats.org/officeDocument/2006/relationships/hyperlink" Target="https://www.bclab.com.br/meios-de-cultura/meio-de-transporte-cary-blair-frasco-500g-kasvi" TargetMode="External"/><Relationship Id="rId737" Type="http://schemas.openxmlformats.org/officeDocument/2006/relationships/hyperlink" Target="https://www.orionprodutoscientificos.com.br/meio-de-trasporte-cary-blair-frasco-500g-himedia" TargetMode="External"/><Relationship Id="rId979" Type="http://schemas.openxmlformats.org/officeDocument/2006/relationships/hyperlink" Target="https://www.lojaacscientifica.com.br/sulfato-de-mercurio-ii-ico-98-pa-acs?variation=14180701" TargetMode="External"/><Relationship Id="rId736" Type="http://schemas.openxmlformats.org/officeDocument/2006/relationships/hyperlink" Target="https://www.biosynesis.com.br/produto/meio-de-transporte-cary-blair-frasco-500g.html?utm_source=Site&amp;utm_medium=GoogleMerchant&amp;utm_campaign=GoogleMerchant&amp;srsltid=AfmBOorgpdaoTgvNCF4E7RShaQr9OkVXD5cpeCx67qQ1tMczB8IOv4NydpU" TargetMode="External"/><Relationship Id="rId978" Type="http://schemas.openxmlformats.org/officeDocument/2006/relationships/hyperlink" Target="https://www.labimport.com.br/reagentes/sulfato-de-mercurio/sulfato-de-mercurio-ii-ico-98-pa-acs-100g-12323" TargetMode="External"/><Relationship Id="rId735" Type="http://schemas.openxmlformats.org/officeDocument/2006/relationships/hyperlink" Target="https://sipac.sig.ufal.br/sipac/visualizaMaterial.do?popup=true&amp;id=26375&amp;acao=12" TargetMode="External"/><Relationship Id="rId977" Type="http://schemas.openxmlformats.org/officeDocument/2006/relationships/hyperlink" Target="https://sipac.sig.ufal.br/sipac/visualizaMaterial.do?popup=true&amp;id=8839&amp;acao=12" TargetMode="External"/><Relationship Id="rId37" Type="http://schemas.openxmlformats.org/officeDocument/2006/relationships/hyperlink" Target="https://sipac.sig.ufal.br/sipac/visualizaMaterial.do?popup=true&amp;id=22680&amp;acao=12" TargetMode="External"/><Relationship Id="rId36" Type="http://schemas.openxmlformats.org/officeDocument/2006/relationships/hyperlink" Target="https://myhexis.com.br/index.php?option=com_movimentacao&amp;op=PROD&amp;task=detalhar&amp;produto_id=HX0179-00162" TargetMode="External"/><Relationship Id="rId39" Type="http://schemas.openxmlformats.org/officeDocument/2006/relationships/hyperlink" Target="https://www.orionprodutoscientificos.com.br/acido-dinitrosalicilico-35-pa-25g-exodo-cientifica?utm_source=Site&amp;utm_medium=GoogleMerchant&amp;utm_campaign=GoogleMerchant" TargetMode="External"/><Relationship Id="rId38" Type="http://schemas.openxmlformats.org/officeDocument/2006/relationships/hyperlink" Target="https://www.lojaacscientifica.com.br/acido-dinitrosalicilico-35-pa?variation=13088490" TargetMode="External"/><Relationship Id="rId730" Type="http://schemas.openxmlformats.org/officeDocument/2006/relationships/hyperlink" Target="https://www.essenciabrasileira.com.br/produto/dinamica-lugol-5-inorganico-frasco-500ml-produto-lacrado-fabrica/" TargetMode="External"/><Relationship Id="rId972" Type="http://schemas.openxmlformats.org/officeDocument/2006/relationships/hyperlink" Target="https://www.labimport.com.br/reagentes/sulfato-de-magnesio/sulfato-de-magnesio-anidro-pa-1kg" TargetMode="External"/><Relationship Id="rId971" Type="http://schemas.openxmlformats.org/officeDocument/2006/relationships/hyperlink" Target="https://www.orionprodutoscientificos.com.br/sulfato-de-magnesio-anidro-pa-1kg-exodo-cientifica?utm_source=Site&amp;utm_medium=GoogleMerchant&amp;utm_campaign=GoogleMerchant" TargetMode="External"/><Relationship Id="rId970" Type="http://schemas.openxmlformats.org/officeDocument/2006/relationships/hyperlink" Target="https://www.lojaacscientifica.com.br/sulfato-de-magnesio-anidro-pa?variation=14180666" TargetMode="External"/><Relationship Id="rId20" Type="http://schemas.openxmlformats.org/officeDocument/2006/relationships/hyperlink" Target="https://www.lojalinklab.com.br/acetato-de-etila-pa-acs-1l-controle-pc-e-pf?parceiro=1142" TargetMode="External"/><Relationship Id="rId22" Type="http://schemas.openxmlformats.org/officeDocument/2006/relationships/hyperlink" Target="https://www.orionprodutoscientificos.com.br/acetato-de-sodio-3h2o-cristal-pa-acs-1kg-exodo-cientifica?utm_source=Site&amp;utm_medium=GoogleMerchant&amp;utm_campaign=GoogleMerchant&amp;gad_source=4&amp;gclid=CjwKCAiAxaCvBhBaEiwAvsLmWB3K7n_UsmdhjDOLOdP2nEPwnkMJ5hrA9n2vEEcUAKM0C0VYbeX1_BoCVwwQAvD_BwE" TargetMode="External"/><Relationship Id="rId21" Type="http://schemas.openxmlformats.org/officeDocument/2006/relationships/hyperlink" Target="https://sipac.sig.ufal.br/sipac/visualizaMaterial.do?popup=true&amp;id=32644&amp;acao=12" TargetMode="External"/><Relationship Id="rId24" Type="http://schemas.openxmlformats.org/officeDocument/2006/relationships/hyperlink" Target="https://www.lojalinklab.com.br/acetato-de-sodio-3h2o-cristal-pa-acs-500g-sem-controle?parceiro=1142" TargetMode="External"/><Relationship Id="rId23" Type="http://schemas.openxmlformats.org/officeDocument/2006/relationships/hyperlink" Target="https://www.lojasynth.com/reagentes-analiticosmaterias-primas/reagentes-analiticosmaterias-primas/acetato-de-sodio-3h2o-p-a-a-c-s?variant_id=306972&amp;parceiro=2827&amp;gad_source=4&amp;gclid=CjwKCAiAxaCvBhBaEiwAvsLmWMPugpP1tlUPDIvpymTIBXANf7-M_yZbcaV7YVCLJyGD9FVqjYt_XhoCq8QQAvD_BwE" TargetMode="External"/><Relationship Id="rId525" Type="http://schemas.openxmlformats.org/officeDocument/2006/relationships/hyperlink" Target="https://www.didaticasp.com.br/diclorometano-uvhplc-espectroscopico-1l-pfssp" TargetMode="External"/><Relationship Id="rId767" Type="http://schemas.openxmlformats.org/officeDocument/2006/relationships/hyperlink" Target="https://sipac.sig.ufal.br/sipac/visualizaMaterial.do?popup=true&amp;id=205&amp;acao=12" TargetMode="External"/><Relationship Id="rId524" Type="http://schemas.openxmlformats.org/officeDocument/2006/relationships/hyperlink" Target="https://sipac.sig.ufal.br/sipac/visualizaMaterial.do?popup=true&amp;id=23414&amp;acao=12" TargetMode="External"/><Relationship Id="rId766" Type="http://schemas.openxmlformats.org/officeDocument/2006/relationships/hyperlink" Target="https://www.labhouse.com.br/nitrato-de-aluminio-9h2o-pa-acs-500gr" TargetMode="External"/><Relationship Id="rId523" Type="http://schemas.openxmlformats.org/officeDocument/2006/relationships/hyperlink" Target="https://loja.implemis.com.br/detergente-alcalino-5-litros?utm_source=Site&amp;utm_medium=GoogleMerchant&amp;utm_campaign=GoogleMerchant" TargetMode="External"/><Relationship Id="rId765" Type="http://schemas.openxmlformats.org/officeDocument/2006/relationships/hyperlink" Target="https://www.lojalinklab.com.br/nitrato-de-aluminio-9h2o-pa-250g-sem-controle?srsltid=AfmBOooexkEqZ3ss13V5e5-XLbjH4C-SCNKL4yqxI4FyXL1rvGXRgxxWsek" TargetMode="External"/><Relationship Id="rId522" Type="http://schemas.openxmlformats.org/officeDocument/2006/relationships/hyperlink" Target="https://www.labimport.com.br/reagentes/detertex/detertex-detergente-neutro-ph-6-5-a-7-5-5-l-11889" TargetMode="External"/><Relationship Id="rId764" Type="http://schemas.openxmlformats.org/officeDocument/2006/relationships/hyperlink" Target="https://www.orionprodutoscientificos.com.br/nitrato-de-aluminio-9h2o-pa-acs-500g-exodo-cientifica?utm_source=Site&amp;utm_medium=GoogleMerchant&amp;utm_campaign=GoogleMerchant" TargetMode="External"/><Relationship Id="rId529" Type="http://schemas.openxmlformats.org/officeDocument/2006/relationships/hyperlink" Target="https://www.carvalhaes.net/produto/detalhes/SY01D1005.01.AF/dicromato-de-potassio-pa-acs-100-250g" TargetMode="External"/><Relationship Id="rId528" Type="http://schemas.openxmlformats.org/officeDocument/2006/relationships/hyperlink" Target="https://sipac.sig.ufal.br/sipac/visualizaMaterial.do?popup=true&amp;id=23424&amp;acao=12" TargetMode="External"/><Relationship Id="rId527" Type="http://schemas.openxmlformats.org/officeDocument/2006/relationships/hyperlink" Target="https://www.lojalinklab.com.br/diclorometano-pa-acs-99-5-1l-controle-pc-e-pf?parceiro=1142" TargetMode="External"/><Relationship Id="rId769" Type="http://schemas.openxmlformats.org/officeDocument/2006/relationships/hyperlink" Target="https://sipac.sig.ufal.br/sipac/visualizaMaterial.do?popup=true&amp;id=30782&amp;acao=12" TargetMode="External"/><Relationship Id="rId526" Type="http://schemas.openxmlformats.org/officeDocument/2006/relationships/hyperlink" Target="https://sipac.sig.ufal.br/sipac/visualizaMaterial.do?popup=true&amp;id=23413&amp;acao=12" TargetMode="External"/><Relationship Id="rId768" Type="http://schemas.openxmlformats.org/officeDocument/2006/relationships/hyperlink" Target="https://www.lojalinklab.com.br/nitrato-de-amonio-pa-500g-exercitoqm-controle-eb-e-pc?parceiro=1142" TargetMode="External"/><Relationship Id="rId26" Type="http://schemas.openxmlformats.org/officeDocument/2006/relationships/hyperlink" Target="https://www.lojaacscientifica.com.br/acetato-de-sodio-anidro-pa-acs?variation=13088430" TargetMode="External"/><Relationship Id="rId25" Type="http://schemas.openxmlformats.org/officeDocument/2006/relationships/hyperlink" Target="https://sipac.sig.ufal.br/sipac/visualizaMaterial.do?popup=true&amp;id=22675&amp;acao=12" TargetMode="External"/><Relationship Id="rId28" Type="http://schemas.openxmlformats.org/officeDocument/2006/relationships/hyperlink" Target="https://www.bclab.com.br/quimicos-reagentes/acetato-de-sodio-anidro-pa-acs-cientifica?variant_id=169" TargetMode="External"/><Relationship Id="rId27" Type="http://schemas.openxmlformats.org/officeDocument/2006/relationships/hyperlink" Target="https://www.labimport.com.br/reagentes/acetato-de-sodio/acetato-de-sodio-anidro-pa-acs-500g-11599" TargetMode="External"/><Relationship Id="rId521" Type="http://schemas.openxmlformats.org/officeDocument/2006/relationships/hyperlink" Target="https://www.megalimp.com.br/heavy-wash-detergente-neutro-ideal-para-vidros-laboratoriais-5-litros-spartan?parceiro=4641&amp;gad_source=4&amp;gclid=Cj0KCQjwncWvBhD_ARIsAEb2HW_9KLo89afm9HLAkG7ewT64VlWQCO62gPhOoOO4wEgAW77xPRYKeP8aAjpqEALw_wcB" TargetMode="External"/><Relationship Id="rId763" Type="http://schemas.openxmlformats.org/officeDocument/2006/relationships/hyperlink" Target="https://sipac.sig.ufal.br/sipac/visualizaMaterial.do?popup=true&amp;id=30781&amp;acao=12" TargetMode="External"/><Relationship Id="rId29" Type="http://schemas.openxmlformats.org/officeDocument/2006/relationships/hyperlink" Target="https://sipac.sig.ufal.br/sipac/visualizaMaterial.do?popup=true&amp;id=22677&amp;acao=12" TargetMode="External"/><Relationship Id="rId520" Type="http://schemas.openxmlformats.org/officeDocument/2006/relationships/hyperlink" Target="https://sipac.sig.ufal.br/sipac/visualizaMaterial.do?popup=true&amp;id=32628&amp;acao=12" TargetMode="External"/><Relationship Id="rId762" Type="http://schemas.openxmlformats.org/officeDocument/2006/relationships/hyperlink" Target="https://www.orionprodutoscientificos.com.br/ninhidrinapa-acs-apos-aberto-guardar-em-geladeira-25g-exodo-cientifica?utm_source=Site&amp;utm_medium=GoogleMerchant&amp;utm_campaign=GoogleMerchant" TargetMode="External"/><Relationship Id="rId761" Type="http://schemas.openxmlformats.org/officeDocument/2006/relationships/hyperlink" Target="https://www.lojalinklab.com.br/ninhidrina-pa-acs-25g-sem-controle?parceiro=1142" TargetMode="External"/><Relationship Id="rId760" Type="http://schemas.openxmlformats.org/officeDocument/2006/relationships/hyperlink" Target="https://www.labimport.com.br/reagentes/ninhidrina/ninhidrina-pa-acs-guardar-em-geladeira-25g" TargetMode="External"/><Relationship Id="rId11" Type="http://schemas.openxmlformats.org/officeDocument/2006/relationships/hyperlink" Target="https://www.orionprodutoscientificos.com.br/acetato-de-chumbo-neutro-3h2o-pa-1kg-exodo-cientifica" TargetMode="External"/><Relationship Id="rId10" Type="http://schemas.openxmlformats.org/officeDocument/2006/relationships/hyperlink" Target="https://sipac.sig.ufal.br/sipac/visualizaMaterial.do?popup=true&amp;id=32882&amp;acao=12" TargetMode="External"/><Relationship Id="rId13" Type="http://schemas.openxmlformats.org/officeDocument/2006/relationships/hyperlink" Target="https://www.lojalinklab.com.br/acetato-de-chumbo-neutro-3h2o-pa-acs-1kg-sem-controle?parceiro=1142" TargetMode="External"/><Relationship Id="rId12" Type="http://schemas.openxmlformats.org/officeDocument/2006/relationships/hyperlink" Target="https://www.bclab.com.br/quimicos-reagentes/acetato-de-chumbo-neutro-3h2o-pa-acs-cientifica?variant_id=105" TargetMode="External"/><Relationship Id="rId519" Type="http://schemas.openxmlformats.org/officeDocument/2006/relationships/hyperlink" Target="https://www.lojalinklab.com.br/cromato-de-potassio-pa-acs-500g-controle-pc-e-pf?parceiro=1142" TargetMode="External"/><Relationship Id="rId514" Type="http://schemas.openxmlformats.org/officeDocument/2006/relationships/hyperlink" Target="https://www.lojaprolab.com.br/kit-coloracao-de-gram-91159?utm_source=google&amp;utm_medium=feed&amp;utm_campaign=shopping&amp;srsltid=AfmBOorWZBHpAUXie42uNbNRH3gtFi5EbQ5zZVa-oj2khYe38kt7B3PHGAk" TargetMode="External"/><Relationship Id="rId756" Type="http://schemas.openxmlformats.org/officeDocument/2006/relationships/hyperlink" Target="https://www.lojalinklab.com.br/nigrosina-ci-50420-pa-25g-sem-controle?parceiro=1142" TargetMode="External"/><Relationship Id="rId998" Type="http://schemas.openxmlformats.org/officeDocument/2006/relationships/hyperlink" Target="https://www.lojaacscientifica.com.br/sulfeto-de-amonio-saturado-embalagem-1l" TargetMode="External"/><Relationship Id="rId513" Type="http://schemas.openxmlformats.org/officeDocument/2006/relationships/hyperlink" Target="https://sipac.sig.ufal.br/sipac/visualizaMaterial.do?popup=true&amp;id=22800&amp;acao=12" TargetMode="External"/><Relationship Id="rId755" Type="http://schemas.openxmlformats.org/officeDocument/2006/relationships/hyperlink" Target="https://sipac.sig.ufal.br/sipac/visualizaMaterial.do?popup=true&amp;id=32539&amp;acao=12" TargetMode="External"/><Relationship Id="rId997" Type="http://schemas.openxmlformats.org/officeDocument/2006/relationships/hyperlink" Target="https://sipac.sig.ufal.br/sipac/visualizaMaterial.do?popup=true&amp;id=30788&amp;acao=12" TargetMode="External"/><Relationship Id="rId512" Type="http://schemas.openxmlformats.org/officeDocument/2006/relationships/hyperlink" Target="https://www.lmplab.com.br/produtos/conjunto-coloracao-panotico-rapido-3x500ml-laborclin/?variant=496050983&amp;pf=mc" TargetMode="External"/><Relationship Id="rId754" Type="http://schemas.openxmlformats.org/officeDocument/2006/relationships/hyperlink" Target="https://www.lojaprolab.com.br/naftilamina-1-alfa-pa-79202" TargetMode="External"/><Relationship Id="rId996" Type="http://schemas.openxmlformats.org/officeDocument/2006/relationships/hyperlink" Target="https://www.ciruvix.com.br/sulfato-de-zinco-7h2o-pa-acs-500gr-synth" TargetMode="External"/><Relationship Id="rId511" Type="http://schemas.openxmlformats.org/officeDocument/2006/relationships/hyperlink" Target="https://www.mmcomercio.net.br/produto/coloracao-panotico-rapido-conjunto-3x500ml-laborclin.html?utm_source=Site&amp;utm_medium=GoogleMerchant&amp;utm_campaign=GoogleMerchant&amp;srsltid=AfmBOoo_VuQQnHZrZmIZLvahg3uDox1dYI9gOStpq3ucfBtEgSjWpmKdoQU" TargetMode="External"/><Relationship Id="rId753" Type="http://schemas.openxmlformats.org/officeDocument/2006/relationships/hyperlink" Target="https://www.didaticasp.com.br/naftilamina-1-alfa-pa-100g" TargetMode="External"/><Relationship Id="rId995" Type="http://schemas.openxmlformats.org/officeDocument/2006/relationships/hyperlink" Target="https://www.lojaacscientifica.com.br/sulfato-de-zinco-7h2o-heptahidratado-pa-acs" TargetMode="External"/><Relationship Id="rId518" Type="http://schemas.openxmlformats.org/officeDocument/2006/relationships/hyperlink" Target="https://sipac.sig.ufal.br/sipac/visualizaMaterial.do?popup=true&amp;id=23411&amp;acao=12" TargetMode="External"/><Relationship Id="rId517" Type="http://schemas.openxmlformats.org/officeDocument/2006/relationships/hyperlink" Target="https://sipac.sig.ufal.br/sipac/visualizaMaterial.do?popup=true&amp;id=28212&amp;acao=12" TargetMode="External"/><Relationship Id="rId759" Type="http://schemas.openxmlformats.org/officeDocument/2006/relationships/hyperlink" Target="https://sipac.sig.ufal.br/sipac/visualizaMaterial.do?popup=true&amp;id=13078&amp;acao=12" TargetMode="External"/><Relationship Id="rId516" Type="http://schemas.openxmlformats.org/officeDocument/2006/relationships/hyperlink" Target="https://gaiadiagnostica.com.br/produtos/coloracao-gram-frascos-c-500ml-newprov/?variant=682529219&amp;pf=mc" TargetMode="External"/><Relationship Id="rId758" Type="http://schemas.openxmlformats.org/officeDocument/2006/relationships/hyperlink" Target="https://www.didaticasp.com.br/produto/nigrosina-pa-25g-cas-8005-03-6.html" TargetMode="External"/><Relationship Id="rId515" Type="http://schemas.openxmlformats.org/officeDocument/2006/relationships/hyperlink" Target="https://www.labimport.com.br/reagentes/kit-de-coloracao-de-gram/kit-de-coloracao-de-gram-04x500ml" TargetMode="External"/><Relationship Id="rId757" Type="http://schemas.openxmlformats.org/officeDocument/2006/relationships/hyperlink" Target="https://www.orionprodutoscientificos.com.br/nigrosina-pa-ci-50420-soluvel-em-h2o-25g-exodo-cientifica?utm_source=Site&amp;utm_medium=GoogleMerchant&amp;utm_campaign=GoogleMerchant" TargetMode="External"/><Relationship Id="rId999" Type="http://schemas.openxmlformats.org/officeDocument/2006/relationships/hyperlink" Target="https://www.orionprodutoscientificos.com.br/sulfeto-de-amonio-saturado-1l-exodo-cientifica?utm_source=Site&amp;utm_medium=GoogleMerchant&amp;utm_campaign=GoogleMerchant" TargetMode="External"/><Relationship Id="rId15" Type="http://schemas.openxmlformats.org/officeDocument/2006/relationships/hyperlink" Target="https://www.orionprodutoscientificos.com.br/acetato-de-cobalto-ii-oso-4h2o-pa-acs-100g-exodo-cientifica?utm_source=Site&amp;utm_medium=GoogleMerchant&amp;utm_campaign=GoogleMerchant" TargetMode="External"/><Relationship Id="rId990" Type="http://schemas.openxmlformats.org/officeDocument/2006/relationships/hyperlink" Target="https://www.laderquimica.com.br/sulfato-de-sodio-anidro-pa-1kg-dinamica?utm_source=Site&amp;utm_medium=GoogleMerchant&amp;utm_campaign=GoogleMerchant&amp;srsltid=AfmBOoqNT2m3VgAZ2C8vJkfD8JDJhQXXdiLr7pSt1eCcvcyymqTOI1Of50c" TargetMode="External"/><Relationship Id="rId14" Type="http://schemas.openxmlformats.org/officeDocument/2006/relationships/hyperlink" Target="https://sipac.sig.ufal.br/sipac/visualizaMaterial.do?popup=true&amp;id=32643&amp;acao=12" TargetMode="External"/><Relationship Id="rId17" Type="http://schemas.openxmlformats.org/officeDocument/2006/relationships/hyperlink" Target="https://www.labimport.com.br/reagentes/cloreto-de-cobalto/cloreto-de-cobalto-ii-oso-6h2o-pa-acs-100g" TargetMode="External"/><Relationship Id="rId16" Type="http://schemas.openxmlformats.org/officeDocument/2006/relationships/hyperlink" Target="https://www.bclab.com.br/quimicos-reagentes/acetato-de-cobalto-ii-oso-4h2o-pa-acs-cientifica?variant_id=111" TargetMode="External"/><Relationship Id="rId19" Type="http://schemas.openxmlformats.org/officeDocument/2006/relationships/hyperlink" Target="https://www.carvalhaes.net/produto/detalhes/SY01A1010.01.BJ/acetato-de-etila-pa-acs-iso-1-l" TargetMode="External"/><Relationship Id="rId510" Type="http://schemas.openxmlformats.org/officeDocument/2006/relationships/hyperlink" Target="https://www.lojaprolab.com.br/panotico-rapido-91158?utm_source=google&amp;utm_medium=feed&amp;utm_campaign=shopping&amp;srsltid=AfmBOoriqB10PcrEAUV-h6OsG39jFUWdy_lpbOZSBCd-f9BmAKdzsA2B3t4" TargetMode="External"/><Relationship Id="rId752" Type="http://schemas.openxmlformats.org/officeDocument/2006/relationships/hyperlink" Target="https://www.lojanetlab.com.br/reagentes/pa/naftilamina-1-alfa-pa" TargetMode="External"/><Relationship Id="rId994" Type="http://schemas.openxmlformats.org/officeDocument/2006/relationships/hyperlink" Target="https://www.lojasynth.com/reagentes-analiticosmaterias-primas/reagentes-analiticosmaterias-primas/sulfato-de-zinco-7h2o-p-a-a-c-s?variant_id=302639&amp;parceiro=2827&amp;srsltid=AfmBOoqFFE5tjzWMXDabAc8jzAyWOVDjhhzyBQXvcoSa1yZsd--ALxLWXNw" TargetMode="External"/><Relationship Id="rId18" Type="http://schemas.openxmlformats.org/officeDocument/2006/relationships/hyperlink" Target="https://sipac.sig.ufal.br/sipac/visualizaMaterial.do?popup=true&amp;id=22673&amp;acao=12" TargetMode="External"/><Relationship Id="rId751" Type="http://schemas.openxmlformats.org/officeDocument/2006/relationships/hyperlink" Target="https://sipac.sig.ufal.br/sipac/visualizaMaterial.do?popup=true&amp;id=24767&amp;acao=12" TargetMode="External"/><Relationship Id="rId993" Type="http://schemas.openxmlformats.org/officeDocument/2006/relationships/hyperlink" Target="https://sipac.sig.ufal.br/sipac/visualizaMaterial.do?popup=true&amp;id=23662&amp;acao=12" TargetMode="External"/><Relationship Id="rId750" Type="http://schemas.openxmlformats.org/officeDocument/2006/relationships/hyperlink" Target="https://www.orionprodutoscientificos.com.br/naftalina-naftaleno-ps-500g-exodo-cientifica" TargetMode="External"/><Relationship Id="rId992" Type="http://schemas.openxmlformats.org/officeDocument/2006/relationships/hyperlink" Target="https://www.labimport.com.br/reagentes/sulfato-de-sodio/sulfato-de-sodio-anidro-pa-acs-1000g" TargetMode="External"/><Relationship Id="rId991" Type="http://schemas.openxmlformats.org/officeDocument/2006/relationships/hyperlink" Target="https://www.lojaacscientifica.com.br/sulfato-de-sodio-anidro-pa-acs?variation=14180797" TargetMode="External"/><Relationship Id="rId84" Type="http://schemas.openxmlformats.org/officeDocument/2006/relationships/hyperlink" Target="https://sipac.sig.ufal.br/sipac/visualizaMaterial.do?popup=true&amp;id=26026&amp;acao=12" TargetMode="External"/><Relationship Id="rId83" Type="http://schemas.openxmlformats.org/officeDocument/2006/relationships/hyperlink" Target="https://www.lojasynth.com/reagentes-analiticosmaterias-primas/reagentes-analiticosmaterias-primas/acido-lactico-l-p-a-a-c-s" TargetMode="External"/><Relationship Id="rId86" Type="http://schemas.openxmlformats.org/officeDocument/2006/relationships/hyperlink" Target="https://www.labimport.com.br/reagentes/acido-maleico/acido-maleico-ps-500g" TargetMode="External"/><Relationship Id="rId85" Type="http://schemas.openxmlformats.org/officeDocument/2006/relationships/hyperlink" Target="https://www.lojaacscientifica.com.br/anidrido-maleico-acido-maleico-ps-embalagem-500g" TargetMode="External"/><Relationship Id="rId88" Type="http://schemas.openxmlformats.org/officeDocument/2006/relationships/hyperlink" Target="https://sipac.sig.ufal.br/sipac/visualizaMaterial.do?popup=true&amp;id=23021&amp;acao=12" TargetMode="External"/><Relationship Id="rId87" Type="http://schemas.openxmlformats.org/officeDocument/2006/relationships/hyperlink" Target="https://www.orionprodutoscientificos.com.br/acido-maleico-500-g-fabricante-neon?utm_source=Site&amp;utm_medium=GoogleMerchant&amp;utm_campaign=GoogleMerchant" TargetMode="External"/><Relationship Id="rId89" Type="http://schemas.openxmlformats.org/officeDocument/2006/relationships/hyperlink" Target="https://www.sigmaaldrich.com/BR/pt/product/sial/m1296" TargetMode="External"/><Relationship Id="rId709" Type="http://schemas.openxmlformats.org/officeDocument/2006/relationships/hyperlink" Target="https://www.lojaacscientifica.com.br/iodato-de-potassio-pa-acs?variation=14179846" TargetMode="External"/><Relationship Id="rId708" Type="http://schemas.openxmlformats.org/officeDocument/2006/relationships/hyperlink" Target="https://sipac.sig.ufal.br/sipac/visualizaMaterial.do?popup=true&amp;id=23619&amp;acao=12" TargetMode="External"/><Relationship Id="rId707" Type="http://schemas.openxmlformats.org/officeDocument/2006/relationships/hyperlink" Target="https://www.essenza.com.br/produto/hipoclorito-de-sodio-12-troppel-5l?utm_source=Site&amp;utm_medium=GoogleMerchant&amp;utm_campaign=GoogleMerchant" TargetMode="External"/><Relationship Id="rId949" Type="http://schemas.openxmlformats.org/officeDocument/2006/relationships/hyperlink" Target="https://sipac.sig.ufal.br/sipac/visualizaMaterial.do?popup=true&amp;id=23692&amp;acao=12" TargetMode="External"/><Relationship Id="rId706" Type="http://schemas.openxmlformats.org/officeDocument/2006/relationships/hyperlink" Target="https://loja.casadosacodelixo.com.br/hipoclorito-de-sodio-12-clarilimp-2024-01-30-17-06-34?utm_source=Site&amp;utm_medium=GoogleMerchant&amp;utm_campaign=GoogleMerchant&amp;sku=hipoclarilimp-2-l" TargetMode="External"/><Relationship Id="rId948" Type="http://schemas.openxmlformats.org/officeDocument/2006/relationships/hyperlink" Target="https://www.lojaacscientifica.com.br/sulfato-de-calcio-2h2o-pa" TargetMode="External"/><Relationship Id="rId80" Type="http://schemas.openxmlformats.org/officeDocument/2006/relationships/hyperlink" Target="https://sipac.sig.ufal.br/sipac/visualizaMaterial.do?popup=true&amp;id=18017&amp;acao=12" TargetMode="External"/><Relationship Id="rId82" Type="http://schemas.openxmlformats.org/officeDocument/2006/relationships/hyperlink" Target="https://www.labimport.com.br/reagentes/acido-latico/acido-latico-85-pa-acs-1l-11629" TargetMode="External"/><Relationship Id="rId81" Type="http://schemas.openxmlformats.org/officeDocument/2006/relationships/hyperlink" Target="https://www.didaticasp.com.br/produto/acido-l-latico-85-pa-1l-cas-79-33-4.html" TargetMode="External"/><Relationship Id="rId701" Type="http://schemas.openxmlformats.org/officeDocument/2006/relationships/hyperlink" Target="https://www.laderquimica.com.br/hidroxido-de-sodio-micro-perolas-pa-1kg-neon?utm_source=Site&amp;utm_medium=GoogleMerchant&amp;utm_campaign=GoogleMerchant&amp;srsltid=AfmBOopBOGZBPCM6kyJ2dp0s28O08cwUET1wt8w2FBbRY3dVVllpFqXLk_4" TargetMode="External"/><Relationship Id="rId943" Type="http://schemas.openxmlformats.org/officeDocument/2006/relationships/hyperlink" Target="https://www.lojasynth.com/reagentes-analiticosmaterias-primas/reagentes-analiticosmaterias-primas/sulfato-de-amonio-p-a?parceiro=2827&amp;variant_id=303732&amp;srsltid=AfmBOorjUmwSaBjPcfeTW3eT6SVA-vLGnRkA8_Z9fh9o48LmTaBfbPHbegM" TargetMode="External"/><Relationship Id="rId700" Type="http://schemas.openxmlformats.org/officeDocument/2006/relationships/hyperlink" Target="https://sipac.sig.ufal.br/sipac/visualizaMaterial.do?popup=true&amp;id=23617&amp;acao=12" TargetMode="External"/><Relationship Id="rId942" Type="http://schemas.openxmlformats.org/officeDocument/2006/relationships/hyperlink" Target="https://www.labimport.com.br/reagentes/sulfato-de-amonio/sulfato-de-amonio-pa-500g-12291" TargetMode="External"/><Relationship Id="rId941" Type="http://schemas.openxmlformats.org/officeDocument/2006/relationships/hyperlink" Target="https://sipac.sig.ufal.br/sipac/visualizaMaterial.do?popup=true&amp;id=23694&amp;acao=12" TargetMode="External"/><Relationship Id="rId940" Type="http://schemas.openxmlformats.org/officeDocument/2006/relationships/hyperlink" Target="https://www.labimport.com.br/reagentes/reagente/reagente-p-dqo/sulfato-de-aluminio-e-potassio-12h2o-pa-acs-500g-conc-99-dens-1-75" TargetMode="External"/><Relationship Id="rId705" Type="http://schemas.openxmlformats.org/officeDocument/2006/relationships/hyperlink" Target="https://produto.mercadolivre.com.br/MLB-1792791069-hipoclorito-de-sodio-12-solucao-puro-com-5-litros-_JM?matt_tool=18956390&amp;utm_source=google_shopping&amp;utm_medium=organic" TargetMode="External"/><Relationship Id="rId947" Type="http://schemas.openxmlformats.org/officeDocument/2006/relationships/hyperlink" Target="https://www.labimport.com.br/reagentes/cloreto-de-calcio/cloreto-de-calcio-2h2o-pa-500g-11813" TargetMode="External"/><Relationship Id="rId704" Type="http://schemas.openxmlformats.org/officeDocument/2006/relationships/hyperlink" Target="https://sipac.sig.ufal.br/sipac/visualizaMaterial.do?popup=true&amp;id=30780&amp;acao=12" TargetMode="External"/><Relationship Id="rId946" Type="http://schemas.openxmlformats.org/officeDocument/2006/relationships/hyperlink" Target="https://www.laderquimica.com.br/sulfato-de-calcio-2h2o-pa-acs-500gr-dinamica?utm_source=Site&amp;utm_medium=GoogleShopping&amp;utm_campaign=GooglePMax&amp;srsltid=AfmBOoq1HQgX2-bvauHtAACmDChIiQP4rAyY2wv4H6KH6bh8PqrsDtuCvV8" TargetMode="External"/><Relationship Id="rId703" Type="http://schemas.openxmlformats.org/officeDocument/2006/relationships/hyperlink" Target="https://www.labimport.com.br/reagentes/hidroxido-de-sodio/hidroxido-de-sodio-microperolas-pa-acs-1000g" TargetMode="External"/><Relationship Id="rId945" Type="http://schemas.openxmlformats.org/officeDocument/2006/relationships/hyperlink" Target="https://sipac.sig.ufal.br/sipac/visualizaMaterial.do?popup=true&amp;id=23693&amp;acao=12" TargetMode="External"/><Relationship Id="rId702" Type="http://schemas.openxmlformats.org/officeDocument/2006/relationships/hyperlink" Target="https://quimisulsc.com.br/produto/hidroxido-de-sodio-pa-microperolas-1-kg/?srsltid=AfmBOopGGxiPljFIVyO7G8JmxIdeuxvmPEqsOZN1vzu07as7XxsiLNxoHNM" TargetMode="External"/><Relationship Id="rId944" Type="http://schemas.openxmlformats.org/officeDocument/2006/relationships/hyperlink" Target="https://www.orionprodutoscientificos.com.br/sulfato-de-amonio-p-a-500-g-fabricante-neon" TargetMode="External"/><Relationship Id="rId73" Type="http://schemas.openxmlformats.org/officeDocument/2006/relationships/hyperlink" Target="https://myhexis.com.br/index.php?option=com_movimentacao&amp;op=PROD&amp;task=detalhar&amp;produto_id=HX0178-00002" TargetMode="External"/><Relationship Id="rId72" Type="http://schemas.openxmlformats.org/officeDocument/2006/relationships/hyperlink" Target="https://www.lojalinklab.com.br/acido-fosforico-orto-85-pa-acs-1l-controle-pc?parceiro=1142" TargetMode="External"/><Relationship Id="rId75" Type="http://schemas.openxmlformats.org/officeDocument/2006/relationships/hyperlink" Target="https://www.didaticasp.com.br/produto/acido-galico-monohdratado-pa-acs-100g-cas-5995-86-8.html" TargetMode="External"/><Relationship Id="rId74" Type="http://schemas.openxmlformats.org/officeDocument/2006/relationships/hyperlink" Target="https://sipac.sig.ufal.br/sipac/visualizaMaterial.do?popup=true&amp;id=28176&amp;acao=12" TargetMode="External"/><Relationship Id="rId77" Type="http://schemas.openxmlformats.org/officeDocument/2006/relationships/hyperlink" Target="https://sipac.sig.ufal.br/sipac/visualizaMaterial.do?popup=true&amp;id=22692&amp;acao=12" TargetMode="External"/><Relationship Id="rId76" Type="http://schemas.openxmlformats.org/officeDocument/2006/relationships/hyperlink" Target="https://www.interjet.com.br/acido-galico-monohidratado-paacs-100-g" TargetMode="External"/><Relationship Id="rId79" Type="http://schemas.openxmlformats.org/officeDocument/2006/relationships/hyperlink" Target="https://www.didaticasp.com.br/produto/acido-indol-3-butirico-pa-5g-cas-133-32-4.html" TargetMode="External"/><Relationship Id="rId78" Type="http://schemas.openxmlformats.org/officeDocument/2006/relationships/hyperlink" Target="https://www.orionprodutoscientificos.com.br/acido-indol-3-butirico-p-a-uso-como-reagente-analitico-5-g-fabricante-neon?utm_source=Site&amp;utm_medium=GoogleMerchant&amp;utm_campaign=GoogleMerchant&amp;gad_source=1&amp;gclid=CjwKCAiA6KWvBhAREiwAFPZM7khn1pM-9n5P4LdnOV43tAUtv3PbDefsQ88eRloxslG4Mu38ucTCLhoCYRUQAvD_BwE" TargetMode="External"/><Relationship Id="rId939" Type="http://schemas.openxmlformats.org/officeDocument/2006/relationships/hyperlink" Target="https://www.lojaacscientifica.com.br/sulfato-de-aluminio-e-potassio-12h2o-pa-acs?variation=14180579" TargetMode="External"/><Relationship Id="rId938" Type="http://schemas.openxmlformats.org/officeDocument/2006/relationships/hyperlink" Target="https://www.lojasynth.com/reagentes-analiticosmaterias-primas/reagentes-analiticosmaterias-primas/sulfato-de-aluminio-e-potassio-12h2o-p-a-embalagem-500g?parceiro=2827&amp;gad_source=4&amp;gclid=EAIaIQobChMIqMeZyKfihAMVjAGtBh3XlgZ-EAQYBiABEgLXj_D_BwE" TargetMode="External"/><Relationship Id="rId937" Type="http://schemas.openxmlformats.org/officeDocument/2006/relationships/hyperlink" Target="https://sipac.sig.ufal.br/sipac/visualizaMaterial.do?popup=true&amp;id=25908&amp;acao=12" TargetMode="External"/><Relationship Id="rId71" Type="http://schemas.openxmlformats.org/officeDocument/2006/relationships/hyperlink" Target="https://www.labimport.com.br/reagentes/acido-fosforico/acido-fosforico-orto-85-pa-acs-1-l-11623" TargetMode="External"/><Relationship Id="rId70" Type="http://schemas.openxmlformats.org/officeDocument/2006/relationships/hyperlink" Target="https://sipac.sig.ufal.br/sipac/visualizaMaterial.do?popup=true&amp;id=22690&amp;acao=12" TargetMode="External"/><Relationship Id="rId932" Type="http://schemas.openxmlformats.org/officeDocument/2006/relationships/hyperlink" Target="https://www.labimport.com.br/reagentes/sulfato-de-aluminio/sulfato-de-aluminio-14-a-18h2o-pa-500g-12287" TargetMode="External"/><Relationship Id="rId931" Type="http://schemas.openxmlformats.org/officeDocument/2006/relationships/hyperlink" Target="https://sipac.sig.ufal.br/sipac/visualizaMaterial.do?popup=true&amp;id=25909&amp;acao=12" TargetMode="External"/><Relationship Id="rId930" Type="http://schemas.openxmlformats.org/officeDocument/2006/relationships/hyperlink" Target="https://www.lojalinklab.com.br/sudan-iii-ci-26100-25g-sem-controle" TargetMode="External"/><Relationship Id="rId936" Type="http://schemas.openxmlformats.org/officeDocument/2006/relationships/hyperlink" Target="https://www.orionprodutoscientificos.com.br/sulfato-de-aluminio-anidro-pa-500g-exodo-cientifica?utm_source=Site&amp;utm_medium=GoogleMerchant&amp;utm_campaign=GoogleMerchant&amp;gad_source=4&amp;gclid=EAIaIQobChMIutb77qvihAMVOVhIAB28SwDdEAQYASABEgLagPD_BwE" TargetMode="External"/><Relationship Id="rId935" Type="http://schemas.openxmlformats.org/officeDocument/2006/relationships/hyperlink" Target="https://www.lojaacscientifica.com.br/sulfato-de-aluminio-anidro-pa-embalagem-500g" TargetMode="External"/><Relationship Id="rId934" Type="http://schemas.openxmlformats.org/officeDocument/2006/relationships/hyperlink" Target="https://sipac.sig.ufal.br/sipac/visualizaMaterial.do?popup=true&amp;id=23696&amp;acao=12" TargetMode="External"/><Relationship Id="rId933" Type="http://schemas.openxmlformats.org/officeDocument/2006/relationships/hyperlink" Target="https://www.orionprodutoscientificos.com.br/sulfato-de-aluminio-14-a-18h2o-pa-1kg-exodo-cientifica" TargetMode="External"/><Relationship Id="rId62" Type="http://schemas.openxmlformats.org/officeDocument/2006/relationships/hyperlink" Target="https://www.didaticasp.com.br/produto/acido-cloridrico-37-pa-acs-1l-cas-7647-01-0-pfssp-concentracao-37-densidade-119.html" TargetMode="External"/><Relationship Id="rId61" Type="http://schemas.openxmlformats.org/officeDocument/2006/relationships/hyperlink" Target="https://sipac.sig.ufal.br/sipac/visualizaMaterial.do?popup=true&amp;id=22686&amp;acao=12" TargetMode="External"/><Relationship Id="rId64" Type="http://schemas.openxmlformats.org/officeDocument/2006/relationships/hyperlink" Target="https://sipac.sig.ufal.br/sipac/visualizaMaterial.do?popup=true&amp;id=22689&amp;acao=12" TargetMode="External"/><Relationship Id="rId63" Type="http://schemas.openxmlformats.org/officeDocument/2006/relationships/hyperlink" Target="https://www.persoalab.com.br/produto/acido-cloridrico-p-a--acs" TargetMode="External"/><Relationship Id="rId66" Type="http://schemas.openxmlformats.org/officeDocument/2006/relationships/hyperlink" Target="https://www.lojasynth.com/reagentes-analiticosmaterias-primas/reagentes-analiticosmaterias-primas/e-d-t-a-acido-p-a?parceiro=2827&amp;srsltid=AfmBOoo8OC2UnGZqZ5GQlvm9UNqaZ7bBEdvbdgZmRJkzQ093MQr5kV-Pe0k&amp;variant_id=302785" TargetMode="External"/><Relationship Id="rId65" Type="http://schemas.openxmlformats.org/officeDocument/2006/relationships/hyperlink" Target="https://www.lojaacscientifica.com.br/edta-acido-pa?variation=13089106" TargetMode="External"/><Relationship Id="rId68" Type="http://schemas.openxmlformats.org/officeDocument/2006/relationships/hyperlink" Target="https://sipac.sig.ufal.br/sipac/visualizaMaterial.do?popup=true&amp;id=25737&amp;acao=12" TargetMode="External"/><Relationship Id="rId67" Type="http://schemas.openxmlformats.org/officeDocument/2006/relationships/hyperlink" Target="https://www.orionprodutoscientificos.com.br/edta-acido-pa-500g-exodo-cientifica" TargetMode="External"/><Relationship Id="rId729" Type="http://schemas.openxmlformats.org/officeDocument/2006/relationships/hyperlink" Target="https://www.mmcomercio.net.br/produto/lugol-forte-concentrado-5i-10ki-500ml-laborclin.html?utm_source=Site&amp;utm_medium=GoogleMerchant&amp;utm_campaign=GoogleMerchant&amp;srsltid=AfmBOorN5l8qh1yY6YOhDtKtXCf2SPYfw7l2rI1fxxN9_i-4cYgQ3Y7zk20" TargetMode="External"/><Relationship Id="rId728" Type="http://schemas.openxmlformats.org/officeDocument/2006/relationships/hyperlink" Target="https://sipac.sig.ufal.br/sipac/visualizaMaterial.do?popup=true&amp;id=23406&amp;acao=12" TargetMode="External"/><Relationship Id="rId60" Type="http://schemas.openxmlformats.org/officeDocument/2006/relationships/hyperlink" Target="https://www.bclab.com.br/quimicos-reagentes/acido-citrico-anidro-pa-acs-cientifica?variant_id=2133" TargetMode="External"/><Relationship Id="rId723" Type="http://schemas.openxmlformats.org/officeDocument/2006/relationships/hyperlink" Target="https://www.orionprodutoscientificos.com.br/iodo-ressublimado-metalico-pa-acs-100g-exodo-cientifica" TargetMode="External"/><Relationship Id="rId965" Type="http://schemas.openxmlformats.org/officeDocument/2006/relationships/hyperlink" Target="https://sipac.sig.ufal.br/sipac/visualizaMaterial.do?popup=true&amp;id=23686&amp;acao=12" TargetMode="External"/><Relationship Id="rId722" Type="http://schemas.openxmlformats.org/officeDocument/2006/relationships/hyperlink" Target="https://www.labimport.com.br/reagentes/iodo/iodo-metalico-pa-acs-100gr" TargetMode="External"/><Relationship Id="rId964" Type="http://schemas.openxmlformats.org/officeDocument/2006/relationships/hyperlink" Target="https://www.labimport.com.br/reagentes/sulfato-de-ferro/sulfato-de-ferro-ii-oso-e-amonio-6h2o-500g" TargetMode="External"/><Relationship Id="rId721" Type="http://schemas.openxmlformats.org/officeDocument/2006/relationships/hyperlink" Target="https://www.laderquimica.com.br/iodo-metalico-paacs-100g?utm_source=Site&amp;utm_medium=GoogleShopping&amp;utm_campaign=GooglePMax&amp;srsltid=AfmBOop_-xlMxT2I6pEOmd3IEPNB8cZ0qEcVEq7s9sY3ysH2L2OIzDMQ8tA" TargetMode="External"/><Relationship Id="rId963" Type="http://schemas.openxmlformats.org/officeDocument/2006/relationships/hyperlink" Target="https://www.lojaacscientifica.com.br/sulfato-de-ferro-ii-oso-e-amonio6-h2oferroso-amoniacal-pa?variation=14180637" TargetMode="External"/><Relationship Id="rId720" Type="http://schemas.openxmlformats.org/officeDocument/2006/relationships/hyperlink" Target="https://sipac.sig.ufal.br/sipac/visualizaMaterial.do?popup=true&amp;id=30144&amp;acao=12" TargetMode="External"/><Relationship Id="rId962" Type="http://schemas.openxmlformats.org/officeDocument/2006/relationships/hyperlink" Target="https://www.lojasynth.com/reagentes-analiticosmaterias-primas/reagentes-analiticosmaterias-primas/sulfato-de-ferro-oso-amoniacal-6h2o-p-a-a-c-s?parceiro=2827&amp;srsltid=AfmBOoqqXGb16T8psYYskJJdx7lszbDf41qWfczyUjF7fT-eCrBqp1lrM4o&amp;variant_id=301927" TargetMode="External"/><Relationship Id="rId727" Type="http://schemas.openxmlformats.org/officeDocument/2006/relationships/hyperlink" Target="https://www.lojalinklab.com.br/lauril-sulfato-de-sodio-pa-dodecilsulfato-500g-sem-controle" TargetMode="External"/><Relationship Id="rId969" Type="http://schemas.openxmlformats.org/officeDocument/2006/relationships/hyperlink" Target="https://sipac.sig.ufal.br/sipac/visualizaMaterial.do?popup=true&amp;id=25899&amp;acao=12" TargetMode="External"/><Relationship Id="rId726" Type="http://schemas.openxmlformats.org/officeDocument/2006/relationships/hyperlink" Target="https://www.orionprodutoscientificos.com.br/lauril-sulfato-de-sodio-pa-dodecilsulfato-500g-exodo-cientifica" TargetMode="External"/><Relationship Id="rId968" Type="http://schemas.openxmlformats.org/officeDocument/2006/relationships/hyperlink" Target="https://www.orionprodutoscientificos.com.br/sulfato-de-magnesio-7h2o-pa-500gr-exodo-cientifica?utm_source=Site&amp;utm_medium=GoogleMerchant&amp;utm_campaign=GoogleMerchant" TargetMode="External"/><Relationship Id="rId725" Type="http://schemas.openxmlformats.org/officeDocument/2006/relationships/hyperlink" Target="https://www.labimport.com.br/reagentes/lauril-sulfato-de-sodio/lauril-sulfato-de-sodio-pa-dodecilsulfato-500g-12075" TargetMode="External"/><Relationship Id="rId967" Type="http://schemas.openxmlformats.org/officeDocument/2006/relationships/hyperlink" Target="https://quimisulsc.com.br/produto/sulfato-de-magnesio-pa-7h2o-500g/?srsltid=AfmBOor759xdVXKEEyiLdA3EIHO6uBT-S5j90UV-by_XkTh5P0LdPbHTDAo" TargetMode="External"/><Relationship Id="rId724" Type="http://schemas.openxmlformats.org/officeDocument/2006/relationships/hyperlink" Target="https://sipac.sig.ufal.br/sipac/visualizaMaterial.do?popup=true&amp;id=15355&amp;acao=12" TargetMode="External"/><Relationship Id="rId966" Type="http://schemas.openxmlformats.org/officeDocument/2006/relationships/hyperlink" Target="https://www.labimport.com.br/reagentes/sulfato-de-magnesio/sulfato-de-magnesio-7h2o-pa-500g" TargetMode="External"/><Relationship Id="rId69" Type="http://schemas.openxmlformats.org/officeDocument/2006/relationships/hyperlink" Target="https://www.lojalinklab.com.br/acido-fluoridrico-48-50-pa-1l-controle-eb-e-pc?parceiro=1142" TargetMode="External"/><Relationship Id="rId961" Type="http://schemas.openxmlformats.org/officeDocument/2006/relationships/hyperlink" Target="https://sipac.sig.ufal.br/sipac/visualizaMaterial.do?popup=true&amp;id=23687&amp;acao=12" TargetMode="External"/><Relationship Id="rId960" Type="http://schemas.openxmlformats.org/officeDocument/2006/relationships/hyperlink" Target="https://www.orionprodutoscientificos.com.br/sulfato-de-ferro-ii-oso7-h2o-pa-500g-exodo-cientifica?utm_source=Site&amp;utm_medium=GoogleMerchant&amp;utm_campaign=GoogleMerchant" TargetMode="External"/><Relationship Id="rId51" Type="http://schemas.openxmlformats.org/officeDocument/2006/relationships/hyperlink" Target="https://sipac.sig.ufal.br/sipac/visualizaMaterial.do?popup=true&amp;id=22684&amp;acao=12" TargetMode="External"/><Relationship Id="rId50" Type="http://schemas.openxmlformats.org/officeDocument/2006/relationships/hyperlink" Target="https://www.lojalinklab.com.br/acido-benzoico-pa-acs-1kg-controle-pc-e-pf?parceiro=1142" TargetMode="External"/><Relationship Id="rId53" Type="http://schemas.openxmlformats.org/officeDocument/2006/relationships/hyperlink" Target="https://sipac.sig.ufal.br/sipac/visualizaMaterial.do?popup=true&amp;id=23758&amp;acao=12" TargetMode="External"/><Relationship Id="rId52" Type="http://schemas.openxmlformats.org/officeDocument/2006/relationships/hyperlink" Target="https://www.carvalhaes.net/produto/detalhes/SY01A1025.01.AG/acido-borico-pa-acs-100-500g" TargetMode="External"/><Relationship Id="rId55" Type="http://schemas.openxmlformats.org/officeDocument/2006/relationships/hyperlink" Target="https://www.orionprodutoscientificos.com.br/acido-calcon-carboxilico-pa-25g-exodo-cientifica?utm_source=Site&amp;utm_medium=GoogleMerchant&amp;utm_campaign=GoogleMerchant" TargetMode="External"/><Relationship Id="rId54" Type="http://schemas.openxmlformats.org/officeDocument/2006/relationships/hyperlink" Target="https://www.labimport.com.br/acido-calcon-carboxilico-pa-25g" TargetMode="External"/><Relationship Id="rId57" Type="http://schemas.openxmlformats.org/officeDocument/2006/relationships/hyperlink" Target="https://sipac.sig.ufal.br/sipac/visualizaMaterial.do?popup=true&amp;id=22685&amp;acao=12" TargetMode="External"/><Relationship Id="rId56" Type="http://schemas.openxmlformats.org/officeDocument/2006/relationships/hyperlink" Target="https://www.bclab.com.br/quimicos-reagentes/acido-calcon-carboxilico-pa-acs-cientifica?variant_id=2123" TargetMode="External"/><Relationship Id="rId719" Type="http://schemas.openxmlformats.org/officeDocument/2006/relationships/hyperlink" Target="https://www.orionprodutoscientificos.com.br/iodeto-de-sodio-p-a-100-g-fabricante-neon" TargetMode="External"/><Relationship Id="rId718" Type="http://schemas.openxmlformats.org/officeDocument/2006/relationships/hyperlink" Target="https://www.lojasynth.com/reagentes-analiticosmaterias-primas/reagentes-analiticosmaterias-primas/iodeto-de-sodio-p-a?variant_id=301097&amp;parceiro=2827&amp;srsltid=AfmBOoraKV6m_Hs3fChcW85YQub4w9HDErLv9_47bZEdzd11pRFYqzmDbZo" TargetMode="External"/><Relationship Id="rId717" Type="http://schemas.openxmlformats.org/officeDocument/2006/relationships/hyperlink" Target="https://www.orionprodutoscientificos.com.br/iodeto-de-sodio-pa-100g-exodo-cientifica?utm_source=Site&amp;utm_medium=GoogleMerchant&amp;utm_campaign=GoogleMerchant" TargetMode="External"/><Relationship Id="rId959" Type="http://schemas.openxmlformats.org/officeDocument/2006/relationships/hyperlink" Target="https://www.labimport.com.br/reagentes/sulfato-de-ferro/sulfato-de-ferro-ii-oso-7h2o-pa-500g" TargetMode="External"/><Relationship Id="rId712" Type="http://schemas.openxmlformats.org/officeDocument/2006/relationships/hyperlink" Target="https://sipac.sig.ufal.br/sipac/visualizaMaterial.do?popup=true&amp;id=23620&amp;acao=12" TargetMode="External"/><Relationship Id="rId954" Type="http://schemas.openxmlformats.org/officeDocument/2006/relationships/hyperlink" Target="https://www.lojalinklab.com.br/sulfato-de-estreptomicina-25g-sem-controle?parceiro=1142" TargetMode="External"/><Relationship Id="rId711" Type="http://schemas.openxmlformats.org/officeDocument/2006/relationships/hyperlink" Target="https://www.orionprodutoscientificos.com.br/iodato-de-potassio-pa-1kg-exodo-cientifica" TargetMode="External"/><Relationship Id="rId953" Type="http://schemas.openxmlformats.org/officeDocument/2006/relationships/hyperlink" Target="https://sipac.sig.ufal.br/sipac/visualizaMaterial.do?popup=true&amp;id=32948&amp;acao=12" TargetMode="External"/><Relationship Id="rId710" Type="http://schemas.openxmlformats.org/officeDocument/2006/relationships/hyperlink" Target="https://www.orionprodutoscientificos.com.br/iodato-de-potassio-p-a-250-g-fabricante-neon" TargetMode="External"/><Relationship Id="rId952" Type="http://schemas.openxmlformats.org/officeDocument/2006/relationships/hyperlink" Target="https://www.orionprodutoscientificos.com.br/sulfato-de-cobre-ii-ico-5h2o-pa-500g-exodo-cientifica?utm_source=Site&amp;utm_medium=GoogleMerchant&amp;utm_campaign=GoogleMerchant" TargetMode="External"/><Relationship Id="rId951" Type="http://schemas.openxmlformats.org/officeDocument/2006/relationships/hyperlink" Target="https://www.laderquimica.com.br/sulfato-de-cobre-ii-ico-5h2o-pa-acs-500g-dinamica?utm_source=Site&amp;utm_medium=GoogleMerchant&amp;utm_campaign=GoogleMerchant&amp;srsltid=AfmBOooFKmhIjVIJiC1k4Fq7OcGhFZo7BnlbDbRSW9-FzL1EoT1aYphi8Iw" TargetMode="External"/><Relationship Id="rId716" Type="http://schemas.openxmlformats.org/officeDocument/2006/relationships/hyperlink" Target="https://sipac.sig.ufal.br/sipac/visualizaMaterial.do?popup=true&amp;id=23621&amp;acao=12" TargetMode="External"/><Relationship Id="rId958" Type="http://schemas.openxmlformats.org/officeDocument/2006/relationships/hyperlink" Target="https://www.lojasynth.com/reagentes-analiticosmaterias-primas/reagentes-analiticosmaterias-primas/sulfato-de-ferro-oso-7h2o-p-a-a-c-s?variant_id=301011&amp;parceiro=2827&amp;gad_source=4&amp;gclid=CjwKCAiAxaCvBhBaEiwAvsLmWL7wTQfkQCCS3ZiLRLu5YMvzl-QtIyVAoMYpo6ocef9YParwWrhDSRoCcjAQAvD_BwE" TargetMode="External"/><Relationship Id="rId715" Type="http://schemas.openxmlformats.org/officeDocument/2006/relationships/hyperlink" Target="https://www.eplab.com.br/laboratorio/consumiveis/reagente/iodeto-de-potassio-pa-acs-100g-dinamica?gad_source=4&amp;gclid=CjwKCAjwkuqvBhAQEiwA65XxQDcXBcMZCO8qZKvNtYzffG50ACuZTpL8c1ntP6m5AYJvkJe2ftscLxoC8qcQAvD_BwE" TargetMode="External"/><Relationship Id="rId957" Type="http://schemas.openxmlformats.org/officeDocument/2006/relationships/hyperlink" Target="https://sipac.sig.ufal.br/sipac/visualizaMaterial.do?popup=true&amp;id=30786&amp;acao=12" TargetMode="External"/><Relationship Id="rId714" Type="http://schemas.openxmlformats.org/officeDocument/2006/relationships/hyperlink" Target="https://www.bclab.com.br/quimicos-reagentes/iodeto-de-potassio-pa-acs-acs-cientifica?variant_id=2199&amp;gad_source=4&amp;gclid=CjwKCAjwkuqvBhAQEiwA65XxQGicIreZjjdEdrOZFjxrAxy6lH1FBSeE0odtz0q6nEU9t_HaEPRP8hoCab8QAvD_BwE" TargetMode="External"/><Relationship Id="rId956" Type="http://schemas.openxmlformats.org/officeDocument/2006/relationships/hyperlink" Target="https://www.lojaacscientifica.com.br/sulfato-de-estreptomicina-purex" TargetMode="External"/><Relationship Id="rId713" Type="http://schemas.openxmlformats.org/officeDocument/2006/relationships/hyperlink" Target="https://labazcientificaltda.mercadoshops.com.br/MLB-1975628435-iodeto-de-potassio-pa-acs-100g-_JM?gad_source=4&amp;gclid=CjwKCAjwkuqvBhAQEiwA65XxQKcZZK-4yPd5o6C_Sb73jq_tHJHyyX2_pFvUrLwHgu2BxkPulPaVDBoC-t8QAvD_BwE" TargetMode="External"/><Relationship Id="rId955" Type="http://schemas.openxmlformats.org/officeDocument/2006/relationships/hyperlink" Target="https://www.orionprodutoscientificos.com.br/sulfato-de-estreptomicina-purex-25g-exodo-cientifica" TargetMode="External"/><Relationship Id="rId59" Type="http://schemas.openxmlformats.org/officeDocument/2006/relationships/hyperlink" Target="https://www.lojasynth.com/reagentes-analiticosmaterias-primas/reagentes-analiticosmaterias-primas/acido-citrico-anidro-p-a-a-c-s?parceiro=2827&amp;srsltid=AfmBOorGTYbMr_sjup72roIg80a0G3PAvqyhQ_z4XYN7KV61rOGNu4vcRew&amp;variant_id=676" TargetMode="External"/><Relationship Id="rId58" Type="http://schemas.openxmlformats.org/officeDocument/2006/relationships/hyperlink" Target="https://www.labimport.com.br/reagentes/acido-citrico/acido-citrico-anidro-pa-acs-1000g" TargetMode="External"/><Relationship Id="rId950" Type="http://schemas.openxmlformats.org/officeDocument/2006/relationships/hyperlink" Target="https://www.labimport.com.br/reagentes/sulfato-de-cobre/sulfato-de-cobre-ii-ico-5h2o-pa-500gr-conc-98-dens-2-28" TargetMode="External"/><Relationship Id="rId590" Type="http://schemas.openxmlformats.org/officeDocument/2006/relationships/hyperlink" Target="https://sipac.sig.ufal.br/sipac/visualizaMaterial.do?popup=true&amp;id=4740&amp;acao=12" TargetMode="External"/><Relationship Id="rId107" Type="http://schemas.openxmlformats.org/officeDocument/2006/relationships/hyperlink" Target="https://www.lojaacscientifica.com.br/acido-salicilico-pa?variation=13088578" TargetMode="External"/><Relationship Id="rId349" Type="http://schemas.openxmlformats.org/officeDocument/2006/relationships/hyperlink" Target="https://sipac.sig.ufal.br/sipac/visualizaMaterial.do?popup=true&amp;id=25902&amp;acao=12" TargetMode="External"/><Relationship Id="rId106" Type="http://schemas.openxmlformats.org/officeDocument/2006/relationships/hyperlink" Target="https://www.lojasynth.com/reagentes-analiticosmaterias-primas/reagentes-analiticosmaterias-primas/acido-salicilico-p-a?variant_id=301050" TargetMode="External"/><Relationship Id="rId348" Type="http://schemas.openxmlformats.org/officeDocument/2006/relationships/hyperlink" Target="https://www.biosynesis.com.br/produto/caldo-nutriente-frasco-500-g.html?utm_source=Site&amp;utm_medium=GoogleMerchant&amp;utm_campaign=GoogleMerchant&amp;gad_source=4&amp;gclid=CjwKCAiA6KWvBhAREiwAFPZM7jHq0KO3q4gYXmB3IFmsJ4e7VxP1HRmyOZmRG1Po7C8PUYlxLla_YBoCfmYQAvD_BwE" TargetMode="External"/><Relationship Id="rId105" Type="http://schemas.openxmlformats.org/officeDocument/2006/relationships/hyperlink" Target="https://www.eplab.com.br/acido-salicilico-pa-250g-acs?gad_source=1&amp;gclid=CjwKCAiAi6uvBhADEiwAWiyRdsBG09PXf4FEPvOLnM39DOiB8UmeZuGABuFqVzisfWGMG3yTRLY6kRoCtRQQAvD_BwE" TargetMode="External"/><Relationship Id="rId347" Type="http://schemas.openxmlformats.org/officeDocument/2006/relationships/hyperlink" Target="https://www.prismalab.com.br/meios-de-cultura/caldo-nutriente-frasco-500g-k25-1216-kasvi?parceiro=1805&amp;gad_source=4&amp;gclid=CjwKCAiA6KWvBhAREiwAFPZM7jRitFsjVN-STZOdUToQPpgF2vO5lgxpuKUEJ0yBr33ibmzeDkZwcRoC9_oQAvD_BwE" TargetMode="External"/><Relationship Id="rId589" Type="http://schemas.openxmlformats.org/officeDocument/2006/relationships/hyperlink" Target="https://www.laderquimica.com.br/fenolftaleina-pa-25g-neon" TargetMode="External"/><Relationship Id="rId104" Type="http://schemas.openxmlformats.org/officeDocument/2006/relationships/hyperlink" Target="https://sipac.sig.ufal.br/sipac/visualizaMaterial.do?popup=true&amp;id=25146&amp;acao=12" TargetMode="External"/><Relationship Id="rId346" Type="http://schemas.openxmlformats.org/officeDocument/2006/relationships/hyperlink" Target="https://www.lojaprolab.com.br/caldo-nutriente-80490?utm_source=google&amp;utm_medium=feed&amp;utm_campaign=shopping&amp;gad_source=4&amp;gclid=CjwKCAiA6KWvBhAREiwAFPZM7njoPsA-22NyXCfkDbmWu-8ZqlDdSgeioqSvsavWQ42eO7CgyBqALBoCwTkQAvD_BwE" TargetMode="External"/><Relationship Id="rId588" Type="http://schemas.openxmlformats.org/officeDocument/2006/relationships/hyperlink" Target="https://www.labimport.com.br/reagentes/fenolftaleina/fenolftaleina-pa-25g" TargetMode="External"/><Relationship Id="rId109" Type="http://schemas.openxmlformats.org/officeDocument/2006/relationships/hyperlink" Target="https://www.lojalinklab.com.br/acido-sulfurico-95-98-pa-acs-1l-controle-pc-e-pf?parceiro=1142" TargetMode="External"/><Relationship Id="rId108" Type="http://schemas.openxmlformats.org/officeDocument/2006/relationships/hyperlink" Target="https://sipac.sig.ufal.br/sipac/visualizaMaterial.do?popup=true&amp;id=23027&amp;acao=12" TargetMode="External"/><Relationship Id="rId341" Type="http://schemas.openxmlformats.org/officeDocument/2006/relationships/hyperlink" Target="https://sipac.sig.ufal.br/sipac/visualizaMaterial.do?popup=true&amp;id=32614&amp;acao=12" TargetMode="External"/><Relationship Id="rId583" Type="http://schemas.openxmlformats.org/officeDocument/2006/relationships/hyperlink" Target="https://www.labimport.com.br/reagentes/fenol/fenol-cristal-pa-acs-acido-fenico-500g" TargetMode="External"/><Relationship Id="rId340" Type="http://schemas.openxmlformats.org/officeDocument/2006/relationships/hyperlink" Target="https://www.forlabexpress.com.br/caldo-lauril-triptose-kasvi-frasco-500g/?srsltid=AfmBOopRTFxakW2DFC5AdwWl3fOPg_9NP9F1R_BdoBpJCD6IiCDwiG3Eero" TargetMode="External"/><Relationship Id="rId582" Type="http://schemas.openxmlformats.org/officeDocument/2006/relationships/hyperlink" Target="https://sipac.sig.ufal.br/sipac/visualizaMaterial.do?popup=true&amp;id=11204&amp;acao=12" TargetMode="External"/><Relationship Id="rId581" Type="http://schemas.openxmlformats.org/officeDocument/2006/relationships/hyperlink" Target="https://www.orionprodutoscientificos.com.br/feniltiocarbamida-feniltioureia-pa-5g-exodo-cientifica" TargetMode="External"/><Relationship Id="rId580" Type="http://schemas.openxmlformats.org/officeDocument/2006/relationships/hyperlink" Target="https://sipac.sig.ufal.br/sipac/visualizaMaterial.do?popup=true&amp;id=27614&amp;acao=12" TargetMode="External"/><Relationship Id="rId103" Type="http://schemas.openxmlformats.org/officeDocument/2006/relationships/hyperlink" Target="https://www.acsreagentes.com.br/4fhpk4xmt-acido-peracetico-pa-1000-ml-proquimios" TargetMode="External"/><Relationship Id="rId345" Type="http://schemas.openxmlformats.org/officeDocument/2006/relationships/hyperlink" Target="https://sipac.sig.ufal.br/sipac/visualizaMaterial.do?popup=true&amp;id=28149&amp;acao=12" TargetMode="External"/><Relationship Id="rId587" Type="http://schemas.openxmlformats.org/officeDocument/2006/relationships/hyperlink" Target="https://eplabequipamentos.mercadoshops.com.br/MLB-3525284517-fenolftaleina-pa-acs-ci-764-25gr-dnm-_JM?gad_source=4&amp;gclid=CjwKCAjwzN-vBhAkEiwAYiO7oKrGjNfM2bAv2kuRkqD5_q4E3TsV3JsJUVvgnivl5IhC_s1LmTv_RxoC-REQAvD_BwE" TargetMode="External"/><Relationship Id="rId102" Type="http://schemas.openxmlformats.org/officeDocument/2006/relationships/hyperlink" Target="https://sipac.sig.ufal.br/sipac/visualizaMaterial.do?popup=true&amp;id=23024&amp;acao=12" TargetMode="External"/><Relationship Id="rId344" Type="http://schemas.openxmlformats.org/officeDocument/2006/relationships/hyperlink" Target="https://www.prismalab.com.br/meios-de-cultura/caldo-mueller-hinton-frasco-500g-k25-1214-kasvi?parceiro=1805&amp;gad_source=4&amp;gclid=CjwKCAiA6KWvBhAREiwAFPZM7qJbdEEaDwQLerwujOsHcgYi3xWdg9uL4QtTRv0cCJrScDgT2KX8TBoCWWkQAvD_BwE" TargetMode="External"/><Relationship Id="rId586" Type="http://schemas.openxmlformats.org/officeDocument/2006/relationships/hyperlink" Target="https://sipac.sig.ufal.br/sipac/visualizaMaterial.do?popup=true&amp;id=1018&amp;acao=12" TargetMode="External"/><Relationship Id="rId101" Type="http://schemas.openxmlformats.org/officeDocument/2006/relationships/hyperlink" Target="https://www.casalab.com.br/produtos/70/6625_" TargetMode="External"/><Relationship Id="rId343" Type="http://schemas.openxmlformats.org/officeDocument/2006/relationships/hyperlink" Target="https://www.laborchemiker.com.br/produto.php?cod_produto=4527820&amp;gad_source=4&amp;gclid=CjwKCAiA6KWvBhAREiwAFPZM7jfQu2lLapzFRLNub5DOTIRqwiq6jlfjbAU6SUQVEDKRkON30UwzABoCmCkQAvD_BwE" TargetMode="External"/><Relationship Id="rId585" Type="http://schemas.openxmlformats.org/officeDocument/2006/relationships/hyperlink" Target="https://www.orionprodutoscientificos.com.br/fenol-cristal-pa-acs-acido-fenico-1kg-exodo-cientifica?utm_source=Site&amp;utm_medium=GoogleMerchant&amp;utm_campaign=GoogleMerchant" TargetMode="External"/><Relationship Id="rId100" Type="http://schemas.openxmlformats.org/officeDocument/2006/relationships/hyperlink" Target="https://sipac.sig.ufal.br/sipac/visualizaMaterial.do?popup=true&amp;id=28190&amp;acao=12" TargetMode="External"/><Relationship Id="rId342" Type="http://schemas.openxmlformats.org/officeDocument/2006/relationships/hyperlink" Target="https://www.eplab.com.br/laboratorio/consumo/meio-de-cultura/caldo-mueller-hinton-frasco-500-g-k25-1214?gad_source=4&amp;gclid=CjwKCAiA6KWvBhAREiwAFPZM7rp7oPIvD_sz81n5opk-8um5PZoXoXQneZJ6ry7UqXh7EwWeMnNEThoCCrwQAvD_BwE" TargetMode="External"/><Relationship Id="rId584" Type="http://schemas.openxmlformats.org/officeDocument/2006/relationships/hyperlink" Target="https://quimisulsc.com.br/produto/fenol-cristal-p-a/?srsltid=AfmBOor-orOsTzxOMzdgNUK0kSKqISWiNri5SXzO6ejCDSVLh5ogsH9cU0c" TargetMode="External"/><Relationship Id="rId338" Type="http://schemas.openxmlformats.org/officeDocument/2006/relationships/hyperlink" Target="https://www.lojaprolab.com.br/caldo-lauril-triptose-80479?utm_source=google&amp;utm_medium=feed&amp;utm_campaign=shopping&amp;gad_source=4&amp;gclid=CjwKCAiA6KWvBhAREiwAFPZM7mT7eaT2TsTuJH8dbSrGY9XfNmagXEjtNsQSc9UVdQccvLqaf4LK4hoCqKUQAvD_BwE" TargetMode="External"/><Relationship Id="rId337" Type="http://schemas.openxmlformats.org/officeDocument/2006/relationships/hyperlink" Target="https://sipac.sig.ufal.br/sipac/visualizaMaterial.do?popup=true&amp;id=25901&amp;acao=12" TargetMode="External"/><Relationship Id="rId579" Type="http://schemas.openxmlformats.org/officeDocument/2006/relationships/hyperlink" Target="https://sipac.sig.ufal.br/sipac/visualizaMaterial.do?popup=true&amp;id=33166&amp;acao=12" TargetMode="External"/><Relationship Id="rId336" Type="http://schemas.openxmlformats.org/officeDocument/2006/relationships/hyperlink" Target="https://www.orionprodutoscientificos.com.br/caldo-infusao-cerebro-e-coracao-bhi-frasco-500g-himedia" TargetMode="External"/><Relationship Id="rId578" Type="http://schemas.openxmlformats.org/officeDocument/2006/relationships/hyperlink" Target="https://www.biosynesis.com.br/produto/extrato-de-levedura-frasco-500-g.html?utm_source=Site&amp;utm_medium=GoogleMerchant&amp;utm_campaign=GoogleMerchant&amp;gad_source=4&amp;gclid=Cj0KCQjwncWvBhD_ARIsAEb2HW8uu331nDLJ2slCSGCL1dhsZBxExroFpEaTGzeJWsGor6_WT9BeNyYaAlDlEALw_wcB" TargetMode="External"/><Relationship Id="rId335" Type="http://schemas.openxmlformats.org/officeDocument/2006/relationships/hyperlink" Target="https://www.forlabexpress.com.br/caldo-infusao-cerebro-e-coracao-bhi-500g-himedia/?srsltid=AfmBOori7OjH7uGzqjq_IxvqV4CAUesPGJv2tDK1_dIX_84cWalIkn-0N6w" TargetMode="External"/><Relationship Id="rId577" Type="http://schemas.openxmlformats.org/officeDocument/2006/relationships/hyperlink" Target="https://www.lojaprolab.com.br/extrato-levedura-80510?utm_source=google&amp;utm_medium=feed&amp;utm_campaign=shopping&amp;gad_source=4&amp;gclid=Cj0KCQjwncWvBhD_ARIsAEb2HW8duOMba6wr0ywwZEtlLWPIIigy_o9DGuwlY-8kOgkCvqPTKaK-E7waArUJEALw_wcB" TargetMode="External"/><Relationship Id="rId339" Type="http://schemas.openxmlformats.org/officeDocument/2006/relationships/hyperlink" Target="https://www.dsyslab.com.br/meios-de-cultura/caldo/caldo-lauril-triptose-lauryl-sulphate-broth-frasco-com-500-gramas-himedia?parceiro=7063&amp;srsltid=AfmBOooMduKlMy7p0rmeuKSsN0smJ7gyE22hPayRlVOvQmoxThz7qUEpJl4" TargetMode="External"/><Relationship Id="rId330" Type="http://schemas.openxmlformats.org/officeDocument/2006/relationships/hyperlink" Target="https://www.labimport.com.br/reagentes/butil-hidroxi-toluol/butil-hidroxi-toluol-b-h-t-pa-500g" TargetMode="External"/><Relationship Id="rId572" Type="http://schemas.openxmlformats.org/officeDocument/2006/relationships/hyperlink" Target="https://www.orionprodutoscientificos.com.br/extrato-de-carne-frasco-500g-himedia?utm_source=Site&amp;utm_medium=GoogleMerchant&amp;utm_campaign=GoogleMerchant" TargetMode="External"/><Relationship Id="rId571" Type="http://schemas.openxmlformats.org/officeDocument/2006/relationships/hyperlink" Target="https://sipac.sig.ufal.br/sipac/visualizaMaterial.do?popup=true&amp;id=32538&amp;acao=12" TargetMode="External"/><Relationship Id="rId570" Type="http://schemas.openxmlformats.org/officeDocument/2006/relationships/hyperlink" Target="https://www.lojasynth.com/reagentes-analiticosmaterias-primas/reagentes-analiticosmaterias-primas/etileno-glicol-1100g-p-a?variant_id=307747&amp;parceiro=2827&amp;srsltid=AfmBOopS4-vPLaG-fc4vz0pI3qF1WJyZtit00pyrccPJO9f9CT73sy9rRyE" TargetMode="External"/><Relationship Id="rId334" Type="http://schemas.openxmlformats.org/officeDocument/2006/relationships/hyperlink" Target="https://www.dsyslab.com.br/meios-de-cultura/caldo/caldo-bhi-bhi-brothcaldo-infusao-de-cerebro-e-coracao-frasco-com-500-gramas-kasvi?parceiro=7063&amp;srsltid=AfmBOopRRDBo_FjibRCr9et0XFdNO60AgWuW3H5OiiULT5r8YbwB2sq6t1U" TargetMode="External"/><Relationship Id="rId576" Type="http://schemas.openxmlformats.org/officeDocument/2006/relationships/hyperlink" Target="https://www.lojanetlab.com.br/meios-de-cultura/agar/extrato-de-levedura-frasco-500g-k25-611005-kasvi?parceiro=7105&amp;gad_source=4&amp;gclid=Cj0KCQjwncWvBhD_ARIsAEb2HW-Ni0oIoc9A-KJ8YqvWmSIfz7zcqSg9sT2klwze5Um6WGQGrd-A0lIaAvksEALw_wcB" TargetMode="External"/><Relationship Id="rId333" Type="http://schemas.openxmlformats.org/officeDocument/2006/relationships/hyperlink" Target="https://sipac.sig.ufal.br/sipac/visualizaMaterial.do?popup=true&amp;id=23015&amp;acao=12" TargetMode="External"/><Relationship Id="rId575" Type="http://schemas.openxmlformats.org/officeDocument/2006/relationships/hyperlink" Target="https://sipac.sig.ufal.br/sipac/visualizaMaterial.do?popup=true&amp;id=27942&amp;acao=12" TargetMode="External"/><Relationship Id="rId332" Type="http://schemas.openxmlformats.org/officeDocument/2006/relationships/hyperlink" Target="https://www.orionprodutoscientificos.com.br/butil-hidroxi-toluol-b-h-t-pa-500g-exodo-cientifica?utm_source=Site&amp;utm_medium=GoogleMerchant&amp;utm_campaign=GoogleMerchant" TargetMode="External"/><Relationship Id="rId574" Type="http://schemas.openxmlformats.org/officeDocument/2006/relationships/hyperlink" Target="https://www.forlabexpress.com.br/extrato-de-carne-500g-himedia/?srsltid=AfmBOopPCcGCypNBny9t-z7P9TGCRovp2ale5amsqBl5zOqzgDcFPp6g_is" TargetMode="External"/><Relationship Id="rId331" Type="http://schemas.openxmlformats.org/officeDocument/2006/relationships/hyperlink" Target="https://www.lojaacscientifica.com.br/butil-hidroxi-toluol-bht-pa-embalagem-500g" TargetMode="External"/><Relationship Id="rId573" Type="http://schemas.openxmlformats.org/officeDocument/2006/relationships/hyperlink" Target="https://www.dsyslab.com.br/www-dsyslab-com-br/meios-de-cultura/agar-em-po-desidratado/extrato-de-carne-kasvi?parceiro=7063&amp;srsltid=AfmBOooxF3acG2XfoB-hrOOsYCt1O77sHkId6jElgLTBzSlv8CickePGAUU" TargetMode="External"/><Relationship Id="rId370" Type="http://schemas.openxmlformats.org/officeDocument/2006/relationships/hyperlink" Target="https://www.orionprodutoscientificos.com.br/carbonato-de-amonio-pa-acs-500g-exodo-cientifica" TargetMode="External"/><Relationship Id="rId129" Type="http://schemas.openxmlformats.org/officeDocument/2006/relationships/hyperlink" Target="https://www.forlabexpress.com.br/agar-bacteriologico-frasco-500g-kasvi/?gad_source=4&amp;gclid=CjwKCAiAi6uvBhADEiwAWiyRdvwhM1hPJjHBbTQVtM8sUvvGpjaSG-tVnWHRE3iPL4gy-eD9OWkPKhoC8eoQAvD_BwE" TargetMode="External"/><Relationship Id="rId128" Type="http://schemas.openxmlformats.org/officeDocument/2006/relationships/hyperlink" Target="https://sipac.sig.ufal.br/sipac/visualizaMaterial.do?popup=true&amp;id=23003&amp;acao=12" TargetMode="External"/><Relationship Id="rId127" Type="http://schemas.openxmlformats.org/officeDocument/2006/relationships/hyperlink" Target="https://www.lojaacscientifica.com.br/safranina-ci-50240?variation=14180525" TargetMode="External"/><Relationship Id="rId369" Type="http://schemas.openxmlformats.org/officeDocument/2006/relationships/hyperlink" Target="https://sipac.sig.ufal.br/sipac/visualizaMaterial.do?popup=true&amp;id=23695&amp;acao=12" TargetMode="External"/><Relationship Id="rId126" Type="http://schemas.openxmlformats.org/officeDocument/2006/relationships/hyperlink" Target="https://www.orionprodutoscientificos.com.br/safranina-t-p-a-c-i-50240-25-g-fabricante-neon" TargetMode="External"/><Relationship Id="rId368" Type="http://schemas.openxmlformats.org/officeDocument/2006/relationships/hyperlink" Target="https://www.lojaacscientifica.com.br/calmagite-calmagita-pa-acs-25g" TargetMode="External"/><Relationship Id="rId121" Type="http://schemas.openxmlformats.org/officeDocument/2006/relationships/hyperlink" Target="https://www.labimport.com.br/reagentes/acido-tricloroacetico/acido-tricloroacetico-pa-acs-500g" TargetMode="External"/><Relationship Id="rId363" Type="http://schemas.openxmlformats.org/officeDocument/2006/relationships/hyperlink" Target="https://www.prismalab.com.br/meios-de-cultura/caldo-bile-verde-brilhante-2-frasco-500g-k25-1228-kasvi?parceiro=1805&amp;gad_source=4&amp;gclid=CjwKCAiA6KWvBhAREiwAFPZM7jxE6vWMzoJy328WN7GhfCTH5RoTiiqYoovKwowl5yzs0CTNhsri0RoC3DoQAvD_BwE" TargetMode="External"/><Relationship Id="rId120" Type="http://schemas.openxmlformats.org/officeDocument/2006/relationships/hyperlink" Target="https://sipac.sig.ufal.br/sipac/visualizaMaterial.do?popup=true&amp;id=15923&amp;acao=12" TargetMode="External"/><Relationship Id="rId362" Type="http://schemas.openxmlformats.org/officeDocument/2006/relationships/hyperlink" Target="https://www.biosynesis.com.br/produto/caldo-bile-verde-brilhante-2-frasco-500-g.html?utm_source=Site&amp;utm_medium=GoogleMerchant&amp;utm_campaign=GoogleMerchant&amp;gad_source=4&amp;gclid=CjwKCAiA6KWvBhAREiwAFPZM7vzB7FCDKxlOBzusDvlaKWCowwvH8GzILH1Xf9GKYfXqod3E7uGpZRoC3EwQAvD_BwE" TargetMode="External"/><Relationship Id="rId361" Type="http://schemas.openxmlformats.org/officeDocument/2006/relationships/hyperlink" Target="https://sipac.sig.ufal.br/sipac/visualizaMaterial.do?popup=true&amp;id=32617&amp;acao=12" TargetMode="External"/><Relationship Id="rId360" Type="http://schemas.openxmlformats.org/officeDocument/2006/relationships/hyperlink" Target="https://www.dsyslab.com.br/meios-de-cultura/caldo/meio-tioglicolato-alternativo-caldo-tioglicolato-de-nih-frasco-com-500-gramas-mod-m010-500g-himedia-velho?parceiro=7063&amp;srsltid=AfmBOoob4jGQF9oQQgKT7SUj0y3PMiSsaYgeRew4de2CHQQQ0V0YBzk-G3I" TargetMode="External"/><Relationship Id="rId125" Type="http://schemas.openxmlformats.org/officeDocument/2006/relationships/hyperlink" Target="https://www.labimport.com.br/reagentes/safranina/safranina-ci-50240-25g" TargetMode="External"/><Relationship Id="rId367" Type="http://schemas.openxmlformats.org/officeDocument/2006/relationships/hyperlink" Target="https://www.orionprodutoscientificos.com.br/calmagita-p-a-acs-25-g-fabricante-neon?utm_source=Site&amp;utm_medium=GoogleMerchant&amp;utm_campaign=GoogleMerchant" TargetMode="External"/><Relationship Id="rId124" Type="http://schemas.openxmlformats.org/officeDocument/2006/relationships/hyperlink" Target="https://sipac.sig.ufal.br/sipac/visualizaMaterial.do?popup=true&amp;id=23712&amp;acao=12" TargetMode="External"/><Relationship Id="rId366" Type="http://schemas.openxmlformats.org/officeDocument/2006/relationships/hyperlink" Target="https://www.orionprodutoscientificos.com.br/calmagite-pa-25g-exodo-cientifica?utm_source=Site&amp;utm_medium=GoogleMerchant&amp;utm_campaign=GoogleMerchant" TargetMode="External"/><Relationship Id="rId123" Type="http://schemas.openxmlformats.org/officeDocument/2006/relationships/hyperlink" Target="https://www.ciruvix.com.br/acido-tricloroacetico-pa-acs-500g-dinamica" TargetMode="External"/><Relationship Id="rId365" Type="http://schemas.openxmlformats.org/officeDocument/2006/relationships/hyperlink" Target="https://sipac.sig.ufal.br/sipac/visualizaMaterial.do?popup=true&amp;id=30406&amp;acao=12" TargetMode="External"/><Relationship Id="rId122" Type="http://schemas.openxmlformats.org/officeDocument/2006/relationships/hyperlink" Target="https://www.lojaacscientifica.com.br/acido-tricloroacetico-pa-acs?variation=13088605" TargetMode="External"/><Relationship Id="rId364" Type="http://schemas.openxmlformats.org/officeDocument/2006/relationships/hyperlink" Target="https://www.lojanetlab.com.br/meios-de-cultura/caldo/caldo-bile-verde-brilhante-2-frasco-500g-k25-610010-kasvi" TargetMode="External"/><Relationship Id="rId95" Type="http://schemas.openxmlformats.org/officeDocument/2006/relationships/hyperlink" Target="https://www.lojasynth.com/reagentes-analiticosmaterias-primas/reagentes-analiticosmaterias-primas/acido-oxalico-2h2o-p-a-a-c-s?variant_id=301748" TargetMode="External"/><Relationship Id="rId94" Type="http://schemas.openxmlformats.org/officeDocument/2006/relationships/hyperlink" Target="https://sipac.sig.ufal.br/sipac/visualizaMaterial.do?popup=true&amp;id=20001&amp;acao=12" TargetMode="External"/><Relationship Id="rId97" Type="http://schemas.openxmlformats.org/officeDocument/2006/relationships/hyperlink" Target="https://www.lojanetlab.com.br/reagentes/pa/acido-oxalico-cristal-2h2o-pa-acs" TargetMode="External"/><Relationship Id="rId96" Type="http://schemas.openxmlformats.org/officeDocument/2006/relationships/hyperlink" Target="https://www.lojaprolab.com.br/acido-oxalico-cristal-2h2o-pa-acs-80998" TargetMode="External"/><Relationship Id="rId99" Type="http://schemas.openxmlformats.org/officeDocument/2006/relationships/hyperlink" Target="https://www.lojalinklab.com.br/acido-perclorico-70-pa-acs-1l-controle-eb-e-pc?parceiro=1142" TargetMode="External"/><Relationship Id="rId98" Type="http://schemas.openxmlformats.org/officeDocument/2006/relationships/hyperlink" Target="https://sipac.sig.ufal.br/sipac/visualizaMaterial.do?popup=true&amp;id=10606&amp;acao=12" TargetMode="External"/><Relationship Id="rId91" Type="http://schemas.openxmlformats.org/officeDocument/2006/relationships/hyperlink" Target="https://www.orionprodutoscientificos.com.br/acido-malonico-pa-100g-exodo-cientifica" TargetMode="External"/><Relationship Id="rId90" Type="http://schemas.openxmlformats.org/officeDocument/2006/relationships/hyperlink" Target="https://www.didaticasp.com.br/produto/acido-malonico-100g-cas-141-82-2.html" TargetMode="External"/><Relationship Id="rId93" Type="http://schemas.openxmlformats.org/officeDocument/2006/relationships/hyperlink" Target="https://docs.google.com/spreadsheets/d/1LpGqklqM1JQoULWIauj1CrRgBCYMxd6yJ6dnXxkSWnw/edit" TargetMode="External"/><Relationship Id="rId92" Type="http://schemas.openxmlformats.org/officeDocument/2006/relationships/hyperlink" Target="https://sipac.sig.ufal.br/sipac/visualizaMaterial.do?popup=true&amp;id=6757&amp;acao=12" TargetMode="External"/><Relationship Id="rId118" Type="http://schemas.openxmlformats.org/officeDocument/2006/relationships/hyperlink" Target="https://www.orionprodutoscientificos.com.br/acido-tiobarbiturico-pa-25g-exodo-cientifica" TargetMode="External"/><Relationship Id="rId117" Type="http://schemas.openxmlformats.org/officeDocument/2006/relationships/hyperlink" Target="https://www.labimport.com.br/reagentes/acido-tiobarbiturico/acido-tiobarbiturico-pa-25g" TargetMode="External"/><Relationship Id="rId359" Type="http://schemas.openxmlformats.org/officeDocument/2006/relationships/hyperlink" Target="https://www.forlabexpress.com.br/meio-tioglicolato-c-indicador-frasco-500g-himedia/?srsltid=AfmBOopO02VbV1zSz8lTQhfqRGEUI_XOrn0lJNSFWTyXgZCQk2ePM90IgXI" TargetMode="External"/><Relationship Id="rId116" Type="http://schemas.openxmlformats.org/officeDocument/2006/relationships/hyperlink" Target="https://sipac.sig.ufal.br/sipac/visualizaMaterial.do?popup=true&amp;id=32608&amp;acao=12" TargetMode="External"/><Relationship Id="rId358" Type="http://schemas.openxmlformats.org/officeDocument/2006/relationships/hyperlink" Target="https://www.orionprodutoscientificos.com.br/meio-tioglicolato-com-indicador-frasco-500g-himedia?utm_source=Site&amp;utm_medium=GoogleMerchant&amp;utm_campaign=GoogleMerchant" TargetMode="External"/><Relationship Id="rId115" Type="http://schemas.openxmlformats.org/officeDocument/2006/relationships/hyperlink" Target="https://www.laderquimica.com.br/acido-tanico-pa-250g-dinamica?utm_source=Site&amp;utm_medium=GoogleMerchant&amp;utm_campaign=GoogleMerchant&amp;srsltid=AfmBOoqnZI9WuQbJ41Z8kZTjJT4n0DQEj_Lkll2ltl8Y0vZ2dPcu8Uc-pNw" TargetMode="External"/><Relationship Id="rId357" Type="http://schemas.openxmlformats.org/officeDocument/2006/relationships/hyperlink" Target="https://sipac.sig.ufal.br/sipac/visualizaMaterial.do?popup=true&amp;id=28150&amp;acao=12" TargetMode="External"/><Relationship Id="rId599" Type="http://schemas.openxmlformats.org/officeDocument/2006/relationships/hyperlink" Target="https://www.labimport.com.br/reagentes/ferricianeto/ferrocianeto-de-potassio-3h2o-pa-acs-250g-conc-98-5-dens-1-85" TargetMode="External"/><Relationship Id="rId119" Type="http://schemas.openxmlformats.org/officeDocument/2006/relationships/hyperlink" Target="https://www.lojaacscientifica.com.br/acido-tiobarbiturico-pa?variation=13088598" TargetMode="External"/><Relationship Id="rId110" Type="http://schemas.openxmlformats.org/officeDocument/2006/relationships/hyperlink" Target="https://myhexis.com.br/index.php?option=com_movimentacao&amp;op=PROD&amp;task=detalhar&amp;produto_id=HX0269-00008" TargetMode="External"/><Relationship Id="rId352" Type="http://schemas.openxmlformats.org/officeDocument/2006/relationships/hyperlink" Target="https://www.lojalab.com.br/produtos/caldo-rappaport-vassiliadis-r10/?variant=707132424&amp;pf=mc&amp;gad_source=4&amp;gclid=CjwKCAiA6KWvBhAREiwAFPZM7iZ1vrkG_IbLOeM6h5nteIClMu60_AOeHFQWG16KTASPRb7JDiGa6xoCQWgQAvD_BwE" TargetMode="External"/><Relationship Id="rId594" Type="http://schemas.openxmlformats.org/officeDocument/2006/relationships/hyperlink" Target="https://sipac.sig.ufal.br/sipac/visualizaMaterial.do?popup=true&amp;id=23661&amp;acao=12" TargetMode="External"/><Relationship Id="rId351" Type="http://schemas.openxmlformats.org/officeDocument/2006/relationships/hyperlink" Target="https://www.lkpdiagnosticos.com.br/meios-de-cultura/7512-caldo-rappaport-vassiliadis-rappaport-vassiliadis-r10-broth-500g?parceiro=3898&amp;gad_source=1&amp;gclid=CjwKCAjwkuqvBhAQEiwA65XxQE3e9B8ZE2TKU6M-jLJQ9GiSekr5t_J48gLMojHRn47d9QoVuDwG_hoClMsQAvD_BwE" TargetMode="External"/><Relationship Id="rId593" Type="http://schemas.openxmlformats.org/officeDocument/2006/relationships/hyperlink" Target="https://www.lojaacscientifica.com.br/ferricianeto-de-potassio-pa-acs?variation=14179527" TargetMode="External"/><Relationship Id="rId350" Type="http://schemas.openxmlformats.org/officeDocument/2006/relationships/hyperlink" Target="https://www.lojaprolab.com.br/caldo-rappaport-vassiliadis-80492?utm_source=google&amp;utm_medium=feed&amp;utm_campaign=shopping&amp;gad_source=1&amp;gclid=CjwKCAjwkuqvBhAQEiwA65XxQPiwvNlN3VibDiYomUqYTXQ6iWkiQlJi7lzOqa5FkkvfLfL2kklMAxoCp5QQAvD_BwE" TargetMode="External"/><Relationship Id="rId592" Type="http://schemas.openxmlformats.org/officeDocument/2006/relationships/hyperlink" Target="https://www.labimport.com.br/reagentes/ferrocianeto/ferricianeto-de-potassio-pa-acs-250g" TargetMode="External"/><Relationship Id="rId591" Type="http://schemas.openxmlformats.org/officeDocument/2006/relationships/hyperlink" Target="https://www.lojasynth.com/reagentes-analiticosmaterias-primas/reagentes-analiticosmaterias-primas/ferricianeto-de-potassio-p-a?parceiro=2827&amp;gad_source=4&amp;gclid=CjwKCAjwzN-vBhAkEiwAYiO7oAWRcik0Wo0R5kO85pFZSrRcz1TsCcjMH2ljtpxvC0rIIv2M8LD_nRoC0eEQAvD_BwE&amp;variant_id=301482" TargetMode="External"/><Relationship Id="rId114" Type="http://schemas.openxmlformats.org/officeDocument/2006/relationships/hyperlink" Target="https://quimisulsc.com.br/produto/acido-tanico-pa-250g/?srsltid=AfmBOorQ1OHFedWA3kDMeNEfss1TTyhgfyqrHYekXZeoVNewZFkluxTYLAc" TargetMode="External"/><Relationship Id="rId356" Type="http://schemas.openxmlformats.org/officeDocument/2006/relationships/hyperlink" Target="https://www.dsyslab.com.br/www-dsyslab-com-br/meios-de-cultura/caldo/caldo-sabouraud-dextrose-kasvi?parceiro=7063&amp;srsltid=AfmBOoqYgHPIRIQpoP2vN_pJzch5G3PsWJ1qxAa_W_D5GX6KhDo1cuIGwqQ" TargetMode="External"/><Relationship Id="rId598" Type="http://schemas.openxmlformats.org/officeDocument/2006/relationships/hyperlink" Target="https://sipac.sig.ufal.br/sipac/visualizaMaterial.do?popup=true&amp;id=2468&amp;acao=12" TargetMode="External"/><Relationship Id="rId113" Type="http://schemas.openxmlformats.org/officeDocument/2006/relationships/hyperlink" Target="https://www.labimport.com.br/reagentes/acido-tanico/acido-tanico-pa-250g-11649" TargetMode="External"/><Relationship Id="rId355" Type="http://schemas.openxmlformats.org/officeDocument/2006/relationships/hyperlink" Target="https://www.prismalab.com.br/meios-de-cultura/caldo-sabouraud-dextrose-frasco-500g-k25-1205-kasvi?parceiro=1805&amp;gad_source=4&amp;gclid=CjwKCAiA6KWvBhAREiwAFPZM7mymh0OX2vgk0gtm4mY3XiTUD2AOn11xFQAYf-tIHAgHCQH7H6VhsBoCNmcQAvD_BwE" TargetMode="External"/><Relationship Id="rId597" Type="http://schemas.openxmlformats.org/officeDocument/2006/relationships/hyperlink" Target="https://www.lojaacscientifica.com.br/ferro-reduzido-po-pa?variation=14179530" TargetMode="External"/><Relationship Id="rId112" Type="http://schemas.openxmlformats.org/officeDocument/2006/relationships/hyperlink" Target="https://sipac.sig.ufal.br/sipac/visualizaMaterial.do?popup=true&amp;id=23029&amp;acao=12" TargetMode="External"/><Relationship Id="rId354" Type="http://schemas.openxmlformats.org/officeDocument/2006/relationships/hyperlink" Target="https://www.biosynesis.com.br/produto/caldo-sabouraud-dextrose-frasco-500-g.html?utm_source=Site&amp;utm_medium=GoogleMerchant&amp;utm_campaign=GoogleMerchant&amp;gad_source=4&amp;gclid=CjwKCAiA6KWvBhAREiwAFPZM7s-yeS5GkzkOweGBRPYc-U8QyIu0iRg58JXwMYcYTjDFHXS2MuJ9SRoCmnYQAvD_BwE" TargetMode="External"/><Relationship Id="rId596" Type="http://schemas.openxmlformats.org/officeDocument/2006/relationships/hyperlink" Target="https://www.orionprodutoscientificos.com.br/ferro-reduzido-po-pa-500g-exodo-cientifica-FR04704RA?utm_source=Site&amp;utm_medium=GoogleMerchant&amp;utm_campaign=GoogleMerchant" TargetMode="External"/><Relationship Id="rId111" Type="http://schemas.openxmlformats.org/officeDocument/2006/relationships/hyperlink" Target="https://www.sigmaaldrich.com/specification-sheets/364/405/403040-BULK.pdf." TargetMode="External"/><Relationship Id="rId353" Type="http://schemas.openxmlformats.org/officeDocument/2006/relationships/hyperlink" Target="https://sipac.sig.ufal.br/sipac/visualizaMaterial.do?popup=true&amp;id=32616&amp;acao=12" TargetMode="External"/><Relationship Id="rId595" Type="http://schemas.openxmlformats.org/officeDocument/2006/relationships/hyperlink" Target="https://www.labimport.com.br/reagentes/ferro-reduzido/ferro-reduzido-po-pa-500g-11951" TargetMode="External"/><Relationship Id="rId305" Type="http://schemas.openxmlformats.org/officeDocument/2006/relationships/hyperlink" Target="https://sipac.sig.ufal.br/sipac/visualizaMaterial.do?popup=true&amp;id=10448&amp;acao=12" TargetMode="External"/><Relationship Id="rId547" Type="http://schemas.openxmlformats.org/officeDocument/2006/relationships/hyperlink" Target="https://www.orionprodutoscientificos.com.br/enxofre-puro-500g-exodo-cientifica?utm_source=Site&amp;utm_medium=GoogleMerchant&amp;utm_campaign=GoogleMerchant" TargetMode="External"/><Relationship Id="rId789" Type="http://schemas.openxmlformats.org/officeDocument/2006/relationships/hyperlink" Target="https://www.lojalinklab.com.br/nitrato-de-potassio-pa-500g-controle-eb-e-pc?parceiro=1142" TargetMode="External"/><Relationship Id="rId304" Type="http://schemas.openxmlformats.org/officeDocument/2006/relationships/hyperlink" Target="https://www.ciruvix.com.br/azul-de-metileno-solucao-1-1lt-neon" TargetMode="External"/><Relationship Id="rId546" Type="http://schemas.openxmlformats.org/officeDocument/2006/relationships/hyperlink" Target="https://www.ciruvix.com.br/enxofre-puro-500gr-dinamica" TargetMode="External"/><Relationship Id="rId788" Type="http://schemas.openxmlformats.org/officeDocument/2006/relationships/hyperlink" Target="https://sipac.sig.ufal.br/sipac/visualizaMaterial.do?popup=true&amp;id=23494&amp;acao=12" TargetMode="External"/><Relationship Id="rId303" Type="http://schemas.openxmlformats.org/officeDocument/2006/relationships/hyperlink" Target="https://www.labimport.com.br/reagentes/azul-de-metileno/azul-de-metileno-solucao-1-alcoolica-1-l" TargetMode="External"/><Relationship Id="rId545" Type="http://schemas.openxmlformats.org/officeDocument/2006/relationships/hyperlink" Target="https://sipac.sig.ufal.br/sipac/visualizaMaterial.do?popup=true&amp;id=23433&amp;acao=12" TargetMode="External"/><Relationship Id="rId787" Type="http://schemas.openxmlformats.org/officeDocument/2006/relationships/hyperlink" Target="https://www.ciruvix.com.br/avof4zf9y-nitrato-de-magnesio-6h2o-pa-acs-500g-dinamica" TargetMode="External"/><Relationship Id="rId302" Type="http://schemas.openxmlformats.org/officeDocument/2006/relationships/hyperlink" Target="https://www.lojalinklab.com.br/azul-de-metileno-sol-1-1l-sem-controle?parceiro=1142&amp;utm_medium=cpc&amp;utm_source=google&amp;utm_campaign=20614034119&amp;utm_content=__c_&amp;utm_term=&amp;utm_local=&amp;utm_device=c&amp;gad_source=4&amp;gclid=CjwKCAjwzN-vBhAkEiwAYiO7oCktzgq4Wc1c5a7uxTthGDLlUa5mO-TV71sUH8nQBKKHu97tHHRYBRoCfz0QAvD_BwE" TargetMode="External"/><Relationship Id="rId544" Type="http://schemas.openxmlformats.org/officeDocument/2006/relationships/hyperlink" Target="https://www.orionprodutoscientificos.com.br/edta-sal-dissodico-2h2o-pa-500g-exodo-cientifica" TargetMode="External"/><Relationship Id="rId786" Type="http://schemas.openxmlformats.org/officeDocument/2006/relationships/hyperlink" Target="https://www.lojaacscientifica.com.br/nitrato-de-magnesio-6h2o-pa-acs-embalagem-500g" TargetMode="External"/><Relationship Id="rId309" Type="http://schemas.openxmlformats.org/officeDocument/2006/relationships/hyperlink" Target="https://sipac.sig.ufal.br/sipac/visualizaMaterial.do?popup=true&amp;id=23355&amp;acao=12" TargetMode="External"/><Relationship Id="rId308" Type="http://schemas.openxmlformats.org/officeDocument/2006/relationships/hyperlink" Target="https://www.forlabexpress.com.br/azul-de-metileno-ci-52015-25g-acs-cientifica/?srsltid=AfmBOorhr31ICuViqQvYE6qazQlWN1CE3Pqn8_QB_tvhGw99wXdiqxe2U54" TargetMode="External"/><Relationship Id="rId307" Type="http://schemas.openxmlformats.org/officeDocument/2006/relationships/hyperlink" Target="https://www.orionprodutoscientificos.com.br/azul-de-metileno-ci-52015-25g-exodo-cientifica?utm_source=Site&amp;utm_medium=GoogleMerchant&amp;utm_campaign=GoogleMerchant" TargetMode="External"/><Relationship Id="rId549" Type="http://schemas.openxmlformats.org/officeDocument/2006/relationships/hyperlink" Target="https://sipac.sig.ufal.br/sipac/visualizaMaterial.do?popup=true&amp;id=33163&amp;acao=12" TargetMode="External"/><Relationship Id="rId306" Type="http://schemas.openxmlformats.org/officeDocument/2006/relationships/hyperlink" Target="https://www.labimport.com.br/reagentes/azul-de-metileno/azul-de-metileno-ci-52015-25g-11739" TargetMode="External"/><Relationship Id="rId548" Type="http://schemas.openxmlformats.org/officeDocument/2006/relationships/hyperlink" Target="https://www.lojalinklab.com.br/enxofre-em-po-puro-500g-controle-pc?parceiro=1142" TargetMode="External"/><Relationship Id="rId781" Type="http://schemas.openxmlformats.org/officeDocument/2006/relationships/hyperlink" Target="https://sipac.sig.ufal.br/sipac/visualizaMaterial.do?popup=true&amp;id=32636&amp;acao=12" TargetMode="External"/><Relationship Id="rId780" Type="http://schemas.openxmlformats.org/officeDocument/2006/relationships/hyperlink" Target="https://www.labimport.com.br/substancias/nitrato/nitrato-de-ferro-iii-ico-9h2o-pa-1kg-conc-98-dens-1-64" TargetMode="External"/><Relationship Id="rId301" Type="http://schemas.openxmlformats.org/officeDocument/2006/relationships/hyperlink" Target="https://sipac.sig.ufal.br/sipac/visualizaMaterial.do?popup=true&amp;id=25980&amp;acao=12" TargetMode="External"/><Relationship Id="rId543" Type="http://schemas.openxmlformats.org/officeDocument/2006/relationships/hyperlink" Target="https://www.laderquimica.com.br/edta-sal-dissodico-2h2o-pa-500g-dinamica?utm_source=Site&amp;utm_medium=GoogleShopping&amp;utm_campaign=GooglePMax&amp;srsltid=AfmBOorD0OAevZ6RwAYxMJJPDN3As347ZPlhAB6BaHyFYaf5BstvvVd5JDE" TargetMode="External"/><Relationship Id="rId785" Type="http://schemas.openxmlformats.org/officeDocument/2006/relationships/hyperlink" Target="https://www.orionprodutoscientificos.com.br/nitrato-de-magnesio-6h2o-pa-500g-exodo-cientifica?utm_source=Site&amp;utm_medium=GoogleMerchant&amp;utm_campaign=GoogleMerchant" TargetMode="External"/><Relationship Id="rId300" Type="http://schemas.openxmlformats.org/officeDocument/2006/relationships/hyperlink" Target="https://www.bclab.com.br/quimicos-reagentes/azul-de-metila-ci-42780-25g-acs-cientifica" TargetMode="External"/><Relationship Id="rId542" Type="http://schemas.openxmlformats.org/officeDocument/2006/relationships/hyperlink" Target="https://www.labimport.com.br/reagentes/sal/edta-sal-dissodico-2h2o-pa-500g-11917" TargetMode="External"/><Relationship Id="rId784" Type="http://schemas.openxmlformats.org/officeDocument/2006/relationships/hyperlink" Target="https://sipac.sig.ufal.br/sipac/visualizaMaterial.do?popup=true&amp;id=23490&amp;acao=12" TargetMode="External"/><Relationship Id="rId541" Type="http://schemas.openxmlformats.org/officeDocument/2006/relationships/hyperlink" Target="https://sipac.sig.ufal.br/sipac/visualizaMaterial.do?popup=true&amp;id=22688&amp;acao=12" TargetMode="External"/><Relationship Id="rId783" Type="http://schemas.openxmlformats.org/officeDocument/2006/relationships/hyperlink" Target="https://www.orionprodutoscientificos.com.br/nitrato-de-litio-pa-100g-exodo-cientifica" TargetMode="External"/><Relationship Id="rId540" Type="http://schemas.openxmlformats.org/officeDocument/2006/relationships/hyperlink" Target="https://www.orionprodutoscientificos.com.br/edta-sal-magnesio-e-dissodico-pa-xh2o-100g-exodo-cientifica?utm_source=Site&amp;utm_medium=GoogleMerchant&amp;utm_campaign=GoogleMerchant" TargetMode="External"/><Relationship Id="rId782" Type="http://schemas.openxmlformats.org/officeDocument/2006/relationships/hyperlink" Target="https://www.lojaacscientifica.com.br/nitrato-de-litio-pa" TargetMode="External"/><Relationship Id="rId536" Type="http://schemas.openxmlformats.org/officeDocument/2006/relationships/hyperlink" Target="https://sipac.sig.ufal.br/sipac/visualizaMaterial.do?popup=true&amp;id=33218&amp;acao=12" TargetMode="External"/><Relationship Id="rId778" Type="http://schemas.openxmlformats.org/officeDocument/2006/relationships/hyperlink" Target="https://mercadobiologico.com.br/produto/nitrato-de-ferro-iii-ico-9h2o-pa-100g/" TargetMode="External"/><Relationship Id="rId535" Type="http://schemas.openxmlformats.org/officeDocument/2006/relationships/hyperlink" Target="https://www.lojalinklab.com.br/dicromato-de-sodio-2h2o-pa-500g-controle-pc-e-pf?parceiro=1142" TargetMode="External"/><Relationship Id="rId777" Type="http://schemas.openxmlformats.org/officeDocument/2006/relationships/hyperlink" Target="https://sipac.sig.ufal.br/sipac/visualizaMaterial.do?popup=true&amp;id=4169&amp;acao=12" TargetMode="External"/><Relationship Id="rId534" Type="http://schemas.openxmlformats.org/officeDocument/2006/relationships/hyperlink" Target="https://sipac.sig.ufal.br/sipac/visualizaMaterial.do?popup=true&amp;id=23427&amp;acao=12" TargetMode="External"/><Relationship Id="rId776" Type="http://schemas.openxmlformats.org/officeDocument/2006/relationships/hyperlink" Target="https://www.didaticasp.com.br/produto/nitrato-de-estroncio-pa-250g-cas-10042-76-9-ssp.html" TargetMode="External"/><Relationship Id="rId533" Type="http://schemas.openxmlformats.org/officeDocument/2006/relationships/hyperlink" Target="https://www.didaticasp.com.br/produto/dicromato-de-amonio-pa-500g-cas-7789-09-5.html" TargetMode="External"/><Relationship Id="rId775" Type="http://schemas.openxmlformats.org/officeDocument/2006/relationships/hyperlink" Target="https://www.orionprodutoscientificos.com.br/nitrato-de-estroncio-pa-acs-250g-exodo-cientifica?utm_source=Site&amp;utm_medium=GoogleMerchant&amp;utm_campaign=GoogleMerchant" TargetMode="External"/><Relationship Id="rId539" Type="http://schemas.openxmlformats.org/officeDocument/2006/relationships/hyperlink" Target="https://www.lojaacscientifica.com.br/edta-de-magnesio-sal-dissodico-pa-xh2o?variation=13089107" TargetMode="External"/><Relationship Id="rId538" Type="http://schemas.openxmlformats.org/officeDocument/2006/relationships/hyperlink" Target="https://sipac.sig.ufal.br/sipac/visualizaMaterial.do?popup=true&amp;id=30775&amp;acao=12" TargetMode="External"/><Relationship Id="rId537" Type="http://schemas.openxmlformats.org/officeDocument/2006/relationships/hyperlink" Target="https://labtrade.com.br/produto/dntp-set/" TargetMode="External"/><Relationship Id="rId779" Type="http://schemas.openxmlformats.org/officeDocument/2006/relationships/hyperlink" Target="https://www.lojaacscientifica.com.br/nitrato-de-ferro-iii-ico-9h2o-pa-acs?variation=14180215" TargetMode="External"/><Relationship Id="rId770" Type="http://schemas.openxmlformats.org/officeDocument/2006/relationships/hyperlink" Target="https://www.lojaacscientifica.com.br/nitrato-de-calcio-4h2o-pa-acs?variation=14180190" TargetMode="External"/><Relationship Id="rId532" Type="http://schemas.openxmlformats.org/officeDocument/2006/relationships/hyperlink" Target="https://www.labimport.com.br/reagentes/reagente/reagente-p-dqo/dicromato-de-amonio-bicromato-pa-500g-con-99-50-dens-2-15" TargetMode="External"/><Relationship Id="rId774" Type="http://schemas.openxmlformats.org/officeDocument/2006/relationships/hyperlink" Target="https://www.orionprodutoscientificos.com.br/nitrato-de-estroncio-p-a-250-g-fabricante-neon?utm_source=Site&amp;utm_medium=GoogleMerchant&amp;utm_campaign=GoogleMerchant" TargetMode="External"/><Relationship Id="rId531" Type="http://schemas.openxmlformats.org/officeDocument/2006/relationships/hyperlink" Target="https://www.lojaprolab.com.br/dicromato-de-amonio-pa-81491" TargetMode="External"/><Relationship Id="rId773" Type="http://schemas.openxmlformats.org/officeDocument/2006/relationships/hyperlink" Target="https://sipac.sig.ufal.br/sipac/visualizaMaterial.do?popup=true&amp;id=32637&amp;acao=12" TargetMode="External"/><Relationship Id="rId530" Type="http://schemas.openxmlformats.org/officeDocument/2006/relationships/hyperlink" Target="https://sipac.sig.ufal.br/sipac/visualizaMaterial.do?popup=true&amp;id=23415&amp;acao=12" TargetMode="External"/><Relationship Id="rId772" Type="http://schemas.openxmlformats.org/officeDocument/2006/relationships/hyperlink" Target="https://www.lojalinklab.com.br/nitrato-de-calcio-4h2o-pa-acs-500g-sem-controle?parceiro=1142" TargetMode="External"/><Relationship Id="rId771" Type="http://schemas.openxmlformats.org/officeDocument/2006/relationships/hyperlink" Target="https://www.labimport.com.br/reagentes/nitrato/nitrato-de-calcio-4h2o-pa-acs-500g-12127" TargetMode="External"/><Relationship Id="rId327" Type="http://schemas.openxmlformats.org/officeDocument/2006/relationships/hyperlink" Target="https://www.orionprodutoscientificos.com.br/bromato-de-potassio-pa-acs-250g-exodo-cientifica?utm_source=Site&amp;utm_medium=GoogleMerchant&amp;utm_campaign=GoogleMerchant" TargetMode="External"/><Relationship Id="rId569" Type="http://schemas.openxmlformats.org/officeDocument/2006/relationships/hyperlink" Target="https://www.labimport.com.br/reagentes/reagentes-e-solventes/etilenoglicol-pa-mono-1l-11931" TargetMode="External"/><Relationship Id="rId326" Type="http://schemas.openxmlformats.org/officeDocument/2006/relationships/hyperlink" Target="https://www.labimport.com.br/reagentes/brometo-de-potassio/brometo-de-potassio-pa-250g" TargetMode="External"/><Relationship Id="rId568" Type="http://schemas.openxmlformats.org/officeDocument/2006/relationships/hyperlink" Target="https://www.lojaacscientifica.com.br/etilenoglicol-pa-mono?variation=14182732" TargetMode="External"/><Relationship Id="rId325" Type="http://schemas.openxmlformats.org/officeDocument/2006/relationships/hyperlink" Target="https://sipac.sig.ufal.br/sipac/visualizaMaterial.do?popup=true&amp;id=23674&amp;acao=12" TargetMode="External"/><Relationship Id="rId567" Type="http://schemas.openxmlformats.org/officeDocument/2006/relationships/hyperlink" Target="https://sipac.sig.ufal.br/sipac/visualizaMaterial.do?popup=true&amp;id=18088&amp;acao=12" TargetMode="External"/><Relationship Id="rId324" Type="http://schemas.openxmlformats.org/officeDocument/2006/relationships/hyperlink" Target="https://www.lojaacscientifica.com.br/brometo-de-cetiltrimetilamonio-ctab?variation=13088791" TargetMode="External"/><Relationship Id="rId566" Type="http://schemas.openxmlformats.org/officeDocument/2006/relationships/hyperlink" Target="https://www.labimport.com.br/reagentes/etilenoglicol/etilenoglicol-monoetil-eter-etiglicol-pa-1l-11929" TargetMode="External"/><Relationship Id="rId329" Type="http://schemas.openxmlformats.org/officeDocument/2006/relationships/hyperlink" Target="https://sipac.sig.ufal.br/sipac/visualizaMaterial.do?popup=true&amp;id=32632&amp;acao=12" TargetMode="External"/><Relationship Id="rId328" Type="http://schemas.openxmlformats.org/officeDocument/2006/relationships/hyperlink" Target="https://www.lojaacscientifica.com.br/brometo-de-potassio-pa?variation=13088805" TargetMode="External"/><Relationship Id="rId561" Type="http://schemas.openxmlformats.org/officeDocument/2006/relationships/hyperlink" Target="https://www.lojalinklab.com.br/eter-etilico-eter-dietilico-pa-acs-99-anidro-1l-controle-pc-e-pf?parceiro=1142" TargetMode="External"/><Relationship Id="rId560" Type="http://schemas.openxmlformats.org/officeDocument/2006/relationships/hyperlink" Target="https://sipac.sig.ufal.br/sipac/visualizaMaterial.do?popup=true&amp;id=2216&amp;acao=12" TargetMode="External"/><Relationship Id="rId323" Type="http://schemas.openxmlformats.org/officeDocument/2006/relationships/hyperlink" Target="https://www.orionprodutoscientificos.com.br/brometo-de-cetiltrimetilamonio-ctab-100g-exodo-cientifica?utm_source=Site&amp;utm_medium=GoogleMerchant&amp;utm_campaign=GoogleMerchant" TargetMode="External"/><Relationship Id="rId565" Type="http://schemas.openxmlformats.org/officeDocument/2006/relationships/hyperlink" Target="https://www.orionprodutoscientificos.com.br/etilenoglicol-monoetil-eter-etilglicol-pa-1l-exodo-cientifica?utm_source=Site&amp;utm_medium=GoogleMerchant&amp;utm_campaign=GoogleMerchant" TargetMode="External"/><Relationship Id="rId322" Type="http://schemas.openxmlformats.org/officeDocument/2006/relationships/hyperlink" Target="https://www.labimport.com.br/reagentes/brometo-de-cetiltrimetilamonio/brometo-de-cetiltrimetilamonio-ctab-100g" TargetMode="External"/><Relationship Id="rId564" Type="http://schemas.openxmlformats.org/officeDocument/2006/relationships/hyperlink" Target="https://www.lojaacscientifica.com.br/etilenoglicol-monoetil-eter-pa-embalagem-1l" TargetMode="External"/><Relationship Id="rId321" Type="http://schemas.openxmlformats.org/officeDocument/2006/relationships/hyperlink" Target="https://sipac.sig.ufal.br/sipac/visualizaMaterial.do?popup=true&amp;id=23675&amp;acao=12" TargetMode="External"/><Relationship Id="rId563" Type="http://schemas.openxmlformats.org/officeDocument/2006/relationships/hyperlink" Target="https://sipac.sig.ufal.br/sipac/visualizaMaterial.do?popup=true&amp;id=27601&amp;acao=12" TargetMode="External"/><Relationship Id="rId320" Type="http://schemas.openxmlformats.org/officeDocument/2006/relationships/hyperlink" Target="https://www.bclab.com.br/quimicos-reagentes/biotina-99-vitamina-h-acs-cientifica?variant_id=2423" TargetMode="External"/><Relationship Id="rId562" Type="http://schemas.openxmlformats.org/officeDocument/2006/relationships/hyperlink" Target="https://www.didaticasp.com.br/produto/eter-etilico-pa-acs-1l-cas-60-29-7-pfssp-concentracao-98-densidade-071.html" TargetMode="External"/><Relationship Id="rId316" Type="http://schemas.openxmlformats.org/officeDocument/2006/relationships/hyperlink" Target="https://www.laderquimica.com.br/biftalato-potassio-pa-500gr?utm_source=Site&amp;utm_medium=GoogleMerchant&amp;utm_campaign=GoogleMerchant&amp;srsltid=AfmBOoryt-8pEZz3Ml0jKxX5OitszviIQLwHCLNlaiMQsbFpDuwhb4-_mOg" TargetMode="External"/><Relationship Id="rId558" Type="http://schemas.openxmlformats.org/officeDocument/2006/relationships/hyperlink" Target="https://www.lojalinklab.com.br/eter-de-petroleo-30-70-pa-1l-controle-pc?parceiro=1142" TargetMode="External"/><Relationship Id="rId315" Type="http://schemas.openxmlformats.org/officeDocument/2006/relationships/hyperlink" Target="https://www.lojaacscientifica.com.br/biftalato-de-potassio-pa" TargetMode="External"/><Relationship Id="rId557" Type="http://schemas.openxmlformats.org/officeDocument/2006/relationships/hyperlink" Target="https://www.labimport.com.br/reagentes/eter-de-petroleo/eter-de-petroleo-30-a-60-pa-acs-1-l" TargetMode="External"/><Relationship Id="rId799" Type="http://schemas.openxmlformats.org/officeDocument/2006/relationships/hyperlink" Target="https://www.orionprodutoscientificos.com.br/nitrato-de-zinco-pa-500g-exodo-cientifica" TargetMode="External"/><Relationship Id="rId314" Type="http://schemas.openxmlformats.org/officeDocument/2006/relationships/hyperlink" Target="https://www.labimport.com.br/reagentes/biftalato-de-potassio/biftalato-de-potassio-pa-500g-11757" TargetMode="External"/><Relationship Id="rId556" Type="http://schemas.openxmlformats.org/officeDocument/2006/relationships/hyperlink" Target="https://sipac.sig.ufal.br/sipac/visualizaMaterial.do?popup=true&amp;id=9574&amp;acao=12" TargetMode="External"/><Relationship Id="rId798" Type="http://schemas.openxmlformats.org/officeDocument/2006/relationships/hyperlink" Target="https://sipac.sig.ufal.br/sipac/visualizaMaterial.do?popup=true&amp;id=23508&amp;acao=12" TargetMode="External"/><Relationship Id="rId313" Type="http://schemas.openxmlformats.org/officeDocument/2006/relationships/hyperlink" Target="https://sipac.sig.ufal.br/sipac/visualizaMaterial.do?popup=true&amp;id=23356&amp;acao=12" TargetMode="External"/><Relationship Id="rId555" Type="http://schemas.openxmlformats.org/officeDocument/2006/relationships/hyperlink" Target="https://www.lojasynth.com/reagentes-analiticosmaterias-primas/reagentes-analiticosmaterias-primas/estanho-gran-20-mesh-p-a?variant_id=301484&amp;parceiro=2827&amp;srsltid=AfmBOoropDzNEH-N-7FRHYwWemXU3EMDi_cxHDBZvpX02civ1OocvNqC2bM" TargetMode="External"/><Relationship Id="rId797" Type="http://schemas.openxmlformats.org/officeDocument/2006/relationships/hyperlink" Target="https://quimisulsc.com.br/produto/nitrato-de-sodio-pa-500g/?srsltid=AfmBOorW1fXhMYGHY1TEXHCSaUkKoMe0O22KMCuQ0MrgiMbo62GpqjYyImQ" TargetMode="External"/><Relationship Id="rId319" Type="http://schemas.openxmlformats.org/officeDocument/2006/relationships/hyperlink" Target="https://www.lojaacscientifica.com.br/biotina-99-vitamina-h?variation=13088769" TargetMode="External"/><Relationship Id="rId318" Type="http://schemas.openxmlformats.org/officeDocument/2006/relationships/hyperlink" Target="https://www.orionprodutoscientificos.com.br/biotina-99-vitamina-h-10g-exodo-cientifica" TargetMode="External"/><Relationship Id="rId317" Type="http://schemas.openxmlformats.org/officeDocument/2006/relationships/hyperlink" Target="https://sipac.sig.ufal.br/sipac/visualizaMaterial.do?popup=true&amp;id=30415&amp;acao=12" TargetMode="External"/><Relationship Id="rId559" Type="http://schemas.openxmlformats.org/officeDocument/2006/relationships/hyperlink" Target="https://www.lojaacscientifica.com.br/eter-de-petroleo-30-60-pa-acs-embalagem-1l" TargetMode="External"/><Relationship Id="rId550" Type="http://schemas.openxmlformats.org/officeDocument/2006/relationships/hyperlink" Target="https://sipac.sig.ufal.br/sipac/visualizaMaterial.do?popup=true&amp;id=28151&amp;acao=12" TargetMode="External"/><Relationship Id="rId792" Type="http://schemas.openxmlformats.org/officeDocument/2006/relationships/hyperlink" Target="https://www.orionprodutoscientificos.com.br/nitrato-de-prata-pa-acs-25g-exodo-cientifica" TargetMode="External"/><Relationship Id="rId791" Type="http://schemas.openxmlformats.org/officeDocument/2006/relationships/hyperlink" Target="https://www.labimport.com.br/reagentes/nitrato/nitrato-de-prata-pa-acs-25g" TargetMode="External"/><Relationship Id="rId790" Type="http://schemas.openxmlformats.org/officeDocument/2006/relationships/hyperlink" Target="https://sipac.sig.ufal.br/sipac/visualizaMaterial.do?popup=true&amp;id=23501&amp;acao=12" TargetMode="External"/><Relationship Id="rId312" Type="http://schemas.openxmlformats.org/officeDocument/2006/relationships/hyperlink" Target="https://www.lojalinklab.com.br/bicarbonato-de-sodio-pa-500g-controle-pc?parceiro=1142" TargetMode="External"/><Relationship Id="rId554" Type="http://schemas.openxmlformats.org/officeDocument/2006/relationships/hyperlink" Target="https://www.orionprodutoscientificos.com.br/estanho-granulado-20-mesh-p-a-100-g-fabricante-neon" TargetMode="External"/><Relationship Id="rId796" Type="http://schemas.openxmlformats.org/officeDocument/2006/relationships/hyperlink" Target="https://www.lojalinklab.com.br/nitrato-de-sodio-pa-500g-controle-pc?parceiro=1142" TargetMode="External"/><Relationship Id="rId311" Type="http://schemas.openxmlformats.org/officeDocument/2006/relationships/hyperlink" Target="https://www.lojaacscientifica.com.br/bicarbonato-de-sodio-pa?variation=13088756" TargetMode="External"/><Relationship Id="rId553" Type="http://schemas.openxmlformats.org/officeDocument/2006/relationships/hyperlink" Target="https://sipac.sig.ufal.br/sipac/visualizaMaterial.do?popup=true&amp;id=32627&amp;acao=12" TargetMode="External"/><Relationship Id="rId795" Type="http://schemas.openxmlformats.org/officeDocument/2006/relationships/hyperlink" Target="https://www.labimport.com.br/reagentes/nitrato/nitrato-de-sodio-pa-500g-12143" TargetMode="External"/><Relationship Id="rId310" Type="http://schemas.openxmlformats.org/officeDocument/2006/relationships/hyperlink" Target="https://www.labimport.com.br/reagentes/bicarbonato-de-sodio/bicarbonato-de-sodio-pa-500g-11755" TargetMode="External"/><Relationship Id="rId552" Type="http://schemas.openxmlformats.org/officeDocument/2006/relationships/hyperlink" Target="https://www.orionprodutoscientificos.com.br/eosina-amarelada-y-solucao-3-alcoolica-1l-exodo-cientifica?utm_source=Site&amp;utm_medium=GoogleMerchant&amp;utm_campaign=GoogleMerchant" TargetMode="External"/><Relationship Id="rId794" Type="http://schemas.openxmlformats.org/officeDocument/2006/relationships/hyperlink" Target="https://sipac.sig.ufal.br/sipac/visualizaMaterial.do?popup=true&amp;id=23505&amp;acao=12" TargetMode="External"/><Relationship Id="rId551" Type="http://schemas.openxmlformats.org/officeDocument/2006/relationships/hyperlink" Target="https://www.lojaacscientifica.com.br/eosina-amarelada-y-solucao-05-aquosa-embalagem-1l" TargetMode="External"/><Relationship Id="rId793" Type="http://schemas.openxmlformats.org/officeDocument/2006/relationships/hyperlink" Target="https://quimisulsc.com.br/produto/nitrato-de-prata-p-a/?srsltid=AfmBOorRR3-YqHopwDyQjVSKxJ1fmAf0BCHp_q6biXNp6f78YZvaTOB2DeE" TargetMode="External"/><Relationship Id="rId297" Type="http://schemas.openxmlformats.org/officeDocument/2006/relationships/hyperlink" Target="https://sipac.sig.ufal.br/sipac/visualizaMaterial.do?popup=true&amp;id=23810&amp;acao=12" TargetMode="External"/><Relationship Id="rId296" Type="http://schemas.openxmlformats.org/officeDocument/2006/relationships/hyperlink" Target="https://www.forlabexpress.com.br/azul-de-bromotimol-pa-5g-acs-cientifica/?srsltid=AfmBOorRHlc_jRmOCT2NjAdrVovdMJDcyBxiTxCBcYw0GB8zzZe_avVr0NI" TargetMode="External"/><Relationship Id="rId295" Type="http://schemas.openxmlformats.org/officeDocument/2006/relationships/hyperlink" Target="https://www.eplab.com.br/laboratorio/consumiveis/reagente/copia-azul-de-bromotimol-pa-acs-5g-dinamica" TargetMode="External"/><Relationship Id="rId294" Type="http://schemas.openxmlformats.org/officeDocument/2006/relationships/hyperlink" Target="https://www.orionprodutoscientificos.com.br/azul-de-bromotimol-p-a-acs-5-g-fabricante-neon?utm_source=Site&amp;utm_medium=GoogleMerchant&amp;utm_campaign=GoogleMerchant" TargetMode="External"/><Relationship Id="rId299" Type="http://schemas.openxmlformats.org/officeDocument/2006/relationships/hyperlink" Target="https://www.orionprodutoscientificos.com.br/azul-de-metila-ci-42780-25g-exodo-cientifica" TargetMode="External"/><Relationship Id="rId298" Type="http://schemas.openxmlformats.org/officeDocument/2006/relationships/hyperlink" Target="https://www.lojaacscientifica.com.br/azul-de-metila-ci42780-embalagem-25g" TargetMode="External"/><Relationship Id="rId271" Type="http://schemas.openxmlformats.org/officeDocument/2006/relationships/hyperlink" Target="https://www.lojanetlab.com.br/reagentes/pa/amido-soluvel-pa-acs?gad_source=1&amp;gclid=Cj0KCQjw-r-vBhC-ARIsAGgUO2DF_9FytKKQv6Oyq2cYh2f2Iw3_LhZ-5P3gNFxKYmnv_RlV6Du1zQEaAhUkEALw_wcB" TargetMode="External"/><Relationship Id="rId270" Type="http://schemas.openxmlformats.org/officeDocument/2006/relationships/hyperlink" Target="https://www.lojaacscientifica.com.br/amido-soluvel-pa-acs?variation=13088666" TargetMode="External"/><Relationship Id="rId269" Type="http://schemas.openxmlformats.org/officeDocument/2006/relationships/hyperlink" Target="https://sipac.sig.ufal.br/sipac/visualizaMaterial.do?popup=true&amp;id=2209&amp;acao=12" TargetMode="External"/><Relationship Id="rId264" Type="http://schemas.openxmlformats.org/officeDocument/2006/relationships/hyperlink" Target="https://www.orionprodutoscientificos.com.br/alizarina-ci-58000-pa-25g-exodo-cientifica" TargetMode="External"/><Relationship Id="rId263" Type="http://schemas.openxmlformats.org/officeDocument/2006/relationships/hyperlink" Target="https://www.lojasynth.com/reagentes-analiticosmaterias-primas/reagentes-analiticosmaterias-primas/alizarina-ci-58000-p-a?parceiro=2827&amp;variant_id=301833&amp;gad_source=4&amp;gclid=Cj0KCQjw-r-vBhC-ARIsAGgUO2AVF67HYi_lEIsjVdCurMVgG0NLWUtTmuJEEvU4przcS_iMO9AcuhgaAqOlEALw_wcB" TargetMode="External"/><Relationship Id="rId262" Type="http://schemas.openxmlformats.org/officeDocument/2006/relationships/hyperlink" Target="https://sipac.sig.ufal.br/sipac/visualizaMaterial.do?popup=true&amp;id=23479&amp;acao=12" TargetMode="External"/><Relationship Id="rId261" Type="http://schemas.openxmlformats.org/officeDocument/2006/relationships/hyperlink" Target="https://www.orionprodutoscientificos.com.br/alcool-propilico-normal-pa-1-propanol-1l-fabricante-exodo-cientifica" TargetMode="External"/><Relationship Id="rId268" Type="http://schemas.openxmlformats.org/officeDocument/2006/relationships/hyperlink" Target="https://www.orbitallab.com.br/aluminio-em-po-purissimo-(-produto-controlado-pelo-ministerio-do-exercito)-551" TargetMode="External"/><Relationship Id="rId267" Type="http://schemas.openxmlformats.org/officeDocument/2006/relationships/hyperlink" Target="https://www.lojaacscientifica.com.br/aluminio-em-po-997-pa?variation=13088656" TargetMode="External"/><Relationship Id="rId266" Type="http://schemas.openxmlformats.org/officeDocument/2006/relationships/hyperlink" Target="https://sipac.sig.ufal.br/sipac/visualizaMaterial.do?popup=true&amp;id=30772&amp;acao=12" TargetMode="External"/><Relationship Id="rId265" Type="http://schemas.openxmlformats.org/officeDocument/2006/relationships/hyperlink" Target="https://www.carvalhaes.net/produto/detalhes/SY01A1090.01.AD/alizarina-ci58000-pa-25g" TargetMode="External"/><Relationship Id="rId260" Type="http://schemas.openxmlformats.org/officeDocument/2006/relationships/hyperlink" Target="https://www.labimport.com.br/reagentes/alcool-propilico/alcool-propilico-iso-pa-acs-2-propanol-1-l" TargetMode="External"/><Relationship Id="rId259" Type="http://schemas.openxmlformats.org/officeDocument/2006/relationships/hyperlink" Target="https://www.lojalinklab.com.br/alcool-propilico-normal-pa-1l-controle-pc?parceiro=1142" TargetMode="External"/><Relationship Id="rId258" Type="http://schemas.openxmlformats.org/officeDocument/2006/relationships/hyperlink" Target="https://sipac.sig.ufal.br/sipac/visualizaMaterial.do?popup=true&amp;id=2422&amp;acao=12" TargetMode="External"/><Relationship Id="rId253" Type="http://schemas.openxmlformats.org/officeDocument/2006/relationships/hyperlink" Target="https://www.labhouse.com.br/alcool-metilico-pa-acs-790g-metanol-1000ml" TargetMode="External"/><Relationship Id="rId495" Type="http://schemas.openxmlformats.org/officeDocument/2006/relationships/hyperlink" Target="https://www.lojaacscientifica.com.br/cloridrato-de-tiamina-98-vitamina-b1-pa?variation=13089030" TargetMode="External"/><Relationship Id="rId252" Type="http://schemas.openxmlformats.org/officeDocument/2006/relationships/hyperlink" Target="https://www.orionprodutoscientificos.com.br/alcool-metilico-pa-acs-1l-fabricante-exodo-cientifica" TargetMode="External"/><Relationship Id="rId494" Type="http://schemas.openxmlformats.org/officeDocument/2006/relationships/hyperlink" Target="https://sipac.sig.ufal.br/sipac/visualizaMaterial.do?popup=true&amp;id=30773&amp;acao=12" TargetMode="External"/><Relationship Id="rId251" Type="http://schemas.openxmlformats.org/officeDocument/2006/relationships/hyperlink" Target="https://www.lojalinklab.com.br/alcool-metilico-pa-acs-1l-controle-pc-controle-pc?parceiro=1142" TargetMode="External"/><Relationship Id="rId493" Type="http://schemas.openxmlformats.org/officeDocument/2006/relationships/hyperlink" Target="https://www.eplab.com.br/fenol-cristal-pa-acs-acido-fenico-1000gr-dinamica" TargetMode="External"/><Relationship Id="rId250" Type="http://schemas.openxmlformats.org/officeDocument/2006/relationships/hyperlink" Target="https://sipac.sig.ufal.br/sipac/visualizaMaterial.do?popup=true&amp;id=2082&amp;acao=12" TargetMode="External"/><Relationship Id="rId492" Type="http://schemas.openxmlformats.org/officeDocument/2006/relationships/hyperlink" Target="https://sipac.sig.ufal.br/sipac/visualizaMaterial.do?popup=true&amp;id=22784&amp;acao=12" TargetMode="External"/><Relationship Id="rId257" Type="http://schemas.openxmlformats.org/officeDocument/2006/relationships/hyperlink" Target="https://www.didaticasp.com.br/produto/alcool-metilico-hplc-1l-cas-67-56-1-ssp.html" TargetMode="External"/><Relationship Id="rId499" Type="http://schemas.openxmlformats.org/officeDocument/2006/relationships/hyperlink" Target="https://sipac.sig.ufal.br/sipac/visualizaMaterial.do?popup=true&amp;id=22786&amp;acao=12" TargetMode="External"/><Relationship Id="rId256" Type="http://schemas.openxmlformats.org/officeDocument/2006/relationships/hyperlink" Target="https://www.orionprodutoscientificos.com.br/alcool-metilico-metanol-hplc-uv-plus-1l-fabricante-exodo-cientifica?utm_source=Site&amp;utm_medium=GoogleMerchant&amp;utm_campaign=GoogleMerchant" TargetMode="External"/><Relationship Id="rId498" Type="http://schemas.openxmlformats.org/officeDocument/2006/relationships/hyperlink" Target="https://sipac.sig.ufal.br/sipac/visualizaMaterial.do?popup=true&amp;id=30779&amp;acao=12" TargetMode="External"/><Relationship Id="rId255" Type="http://schemas.openxmlformats.org/officeDocument/2006/relationships/hyperlink" Target="https://www.labimport.com.br/reagentes/alcool-metilico/alcool-metilico-metanol-hplcuv-plus-1-l" TargetMode="External"/><Relationship Id="rId497" Type="http://schemas.openxmlformats.org/officeDocument/2006/relationships/hyperlink" Target="https://www.lojalinklab.com.br/cloridrato-de-tiamina-98-pa-100g-sem-controle?parceiro=1142" TargetMode="External"/><Relationship Id="rId254" Type="http://schemas.openxmlformats.org/officeDocument/2006/relationships/hyperlink" Target="https://sipac.sig.ufal.br/sipac/visualizaMaterial.do?popup=true&amp;id=5598&amp;acao=12" TargetMode="External"/><Relationship Id="rId496" Type="http://schemas.openxmlformats.org/officeDocument/2006/relationships/hyperlink" Target="https://www.orionprodutoscientificos.com.br/cloridrato-de-tiamina-98-pa-100g-exodo-cientifica?utm_source=Site&amp;utm_medium=GoogleMerchant&amp;utm_campaign=GoogleMerchant" TargetMode="External"/><Relationship Id="rId293" Type="http://schemas.openxmlformats.org/officeDocument/2006/relationships/hyperlink" Target="https://sipac.sig.ufal.br/sipac/visualizaMaterial.do?popup=true&amp;id=18098&amp;acao=12" TargetMode="External"/><Relationship Id="rId292" Type="http://schemas.openxmlformats.org/officeDocument/2006/relationships/hyperlink" Target="https://www.bclab.com.br/quimicos-reagentes/azul-de-astra-ci-48048-10g-acs-cientifica" TargetMode="External"/><Relationship Id="rId291" Type="http://schemas.openxmlformats.org/officeDocument/2006/relationships/hyperlink" Target="https://www.labimport.com.br/reagentes/azul-de-astra/azul-de-astra-ci-48048-10g" TargetMode="External"/><Relationship Id="rId290" Type="http://schemas.openxmlformats.org/officeDocument/2006/relationships/hyperlink" Target="https://www.lojaacscientifica.com.br/azul-de-astra-ci-48048-embalagem-10g" TargetMode="External"/><Relationship Id="rId286" Type="http://schemas.openxmlformats.org/officeDocument/2006/relationships/hyperlink" Target="https://www.labimport.com.br/reagentes/azul-de-coomassie/azul-de-coomassie-brilhante-g250-ci-42655-25g" TargetMode="External"/><Relationship Id="rId285" Type="http://schemas.openxmlformats.org/officeDocument/2006/relationships/hyperlink" Target="https://sipac.sig.ufal.br/sipac/visualizaMaterial.do?popup=true&amp;id=14668&amp;acao=12" TargetMode="External"/><Relationship Id="rId284" Type="http://schemas.openxmlformats.org/officeDocument/2006/relationships/hyperlink" Target="https://www.lojaprolab.com.br/azul-de-alcian-ci-74240-81240" TargetMode="External"/><Relationship Id="rId283" Type="http://schemas.openxmlformats.org/officeDocument/2006/relationships/hyperlink" Target="https://www.orionprodutoscientificos.com.br/azul-de-alcian-alcian-blue-ci-74240-10g-exodo-cientifica?utm_source=Site&amp;utm_medium=GoogleMerchant&amp;utm_campaign=GoogleMerchant" TargetMode="External"/><Relationship Id="rId289" Type="http://schemas.openxmlformats.org/officeDocument/2006/relationships/hyperlink" Target="https://sipac.sig.ufal.br/sipac/visualizaMaterial.do?popup=true&amp;id=23373&amp;acao=12" TargetMode="External"/><Relationship Id="rId288" Type="http://schemas.openxmlformats.org/officeDocument/2006/relationships/hyperlink" Target="https://www.lojaacscientifica.com.br/azul-de-coomassie-brilhante-g-250-ci42655-embalagem-25g" TargetMode="External"/><Relationship Id="rId287" Type="http://schemas.openxmlformats.org/officeDocument/2006/relationships/hyperlink" Target="https://www.bclab.com.br/quimicos-reagentes/azul-de-coomassie-brilhante-g250-ci-42655-25g-acs-cientifica" TargetMode="External"/><Relationship Id="rId282" Type="http://schemas.openxmlformats.org/officeDocument/2006/relationships/hyperlink" Target="https://www.lojanetlab.com.br/azul-de-alcian-ci-74240-10gr-dinamica" TargetMode="External"/><Relationship Id="rId281" Type="http://schemas.openxmlformats.org/officeDocument/2006/relationships/hyperlink" Target="https://sipac.sig.ufal.br/sipac/visualizaMaterial.do?popup=true&amp;id=21042&amp;acao=12" TargetMode="External"/><Relationship Id="rId280" Type="http://schemas.openxmlformats.org/officeDocument/2006/relationships/hyperlink" Target="https://www.lojalinklab.com.br/azida-sodica-pa-100g-controle-eb-e-pc?parceiro=1142" TargetMode="External"/><Relationship Id="rId275" Type="http://schemas.openxmlformats.org/officeDocument/2006/relationships/hyperlink" Target="https://sipac.sig.ufal.br/sipac/visualizaMaterial.do?popup=true&amp;id=25139&amp;acao=12" TargetMode="External"/><Relationship Id="rId274" Type="http://schemas.openxmlformats.org/officeDocument/2006/relationships/hyperlink" Target="https://www.didaticasp.com.br/produto/anidro-acetico-pa-1l-cas-108-24-7-pfssp-concentracao-97-densidade-108.html" TargetMode="External"/><Relationship Id="rId273" Type="http://schemas.openxmlformats.org/officeDocument/2006/relationships/hyperlink" Target="https://sipac.sig.ufal.br/sipac/visualizaMaterial.do?popup=true&amp;id=145&amp;acao=12" TargetMode="External"/><Relationship Id="rId272" Type="http://schemas.openxmlformats.org/officeDocument/2006/relationships/hyperlink" Target="https://www.lojasynth.com/reagentes-analiticosmaterias-primas/reagentes-analiticosmaterias-primas/amido-soluvel-p-a?variant_id=301388" TargetMode="External"/><Relationship Id="rId279" Type="http://schemas.openxmlformats.org/officeDocument/2006/relationships/hyperlink" Target="https://sipac.sig.ufal.br/sipac/visualizaMaterial.do?popup=true&amp;id=32613&amp;acao=12" TargetMode="External"/><Relationship Id="rId278" Type="http://schemas.openxmlformats.org/officeDocument/2006/relationships/hyperlink" Target="https://www.lojaprolab.com.br/antrona-pa-acs-81227" TargetMode="External"/><Relationship Id="rId277" Type="http://schemas.openxmlformats.org/officeDocument/2006/relationships/hyperlink" Target="https://www.labimport.com.br/reagentes/antrona/antrona-pa-acs-25g" TargetMode="External"/><Relationship Id="rId276" Type="http://schemas.openxmlformats.org/officeDocument/2006/relationships/hyperlink" Target="https://www.lojaacscientifica.com.br/antrona-pa-embalagem-25g" TargetMode="External"/><Relationship Id="rId907" Type="http://schemas.openxmlformats.org/officeDocument/2006/relationships/hyperlink" Target="https://sipac.sig.ufal.br/sipac/visualizaMaterial.do?popup=true&amp;id=30408&amp;acao=12" TargetMode="External"/><Relationship Id="rId906" Type="http://schemas.openxmlformats.org/officeDocument/2006/relationships/hyperlink" Target="https://sipac.sig.ufal.br/sipac/visualizaMaterial.do?popup=true&amp;id=30407&amp;acao=12" TargetMode="External"/><Relationship Id="rId905" Type="http://schemas.openxmlformats.org/officeDocument/2006/relationships/hyperlink" Target="https://www.didaticasp.com.br/solucao-padrao-de-condutividade-1469-uscm-250ml-com-certificado-rastreado-nist" TargetMode="External"/><Relationship Id="rId904" Type="http://schemas.openxmlformats.org/officeDocument/2006/relationships/hyperlink" Target="https://www.lojaprolab.com.br/solucao-padrao-de-condutividade-146-9-%C2%B5s-cm-0-5-a-25-%C2%B0c-0-2-%C2%B0c-frasco-de-250ml-93806" TargetMode="External"/><Relationship Id="rId909" Type="http://schemas.openxmlformats.org/officeDocument/2006/relationships/hyperlink" Target="https://www.labimport.com.br/reagentes/solucao-padrao-de-cor-apha-100-platino-cobalto-para-espectrometria-e-colorimetria-500ml" TargetMode="External"/><Relationship Id="rId908" Type="http://schemas.openxmlformats.org/officeDocument/2006/relationships/hyperlink" Target="https://sipac.sig.ufal.br/sipac/visualizaMaterial.do?popup=true&amp;id=30409&amp;acao=12" TargetMode="External"/><Relationship Id="rId903" Type="http://schemas.openxmlformats.org/officeDocument/2006/relationships/hyperlink" Target="https://www.lojanetlab.com.br/reagentes-e-meios/calibracao-de-condutivimetro/solucao-padrao-de-condutividade-146-9-us-cm-0-5-a-25-c-0-2-c-250ml-dinamica" TargetMode="External"/><Relationship Id="rId902" Type="http://schemas.openxmlformats.org/officeDocument/2006/relationships/hyperlink" Target="https://sipac.sig.ufal.br/sipac/visualizaMaterial.do?popup=true&amp;id=32633&amp;acao=12" TargetMode="External"/><Relationship Id="rId901" Type="http://schemas.openxmlformats.org/officeDocument/2006/relationships/hyperlink" Target="https://www.labimport.com.br/reagentes/silicato-de-sodio/silicato-de-sodio-puro-500g-12255" TargetMode="External"/><Relationship Id="rId900" Type="http://schemas.openxmlformats.org/officeDocument/2006/relationships/hyperlink" Target="https://www.ciruvix.com.br/silicato-de-sodio-puro-500g-dinamica" TargetMode="External"/><Relationship Id="rId929" Type="http://schemas.openxmlformats.org/officeDocument/2006/relationships/hyperlink" Target="https://www.orionprodutoscientificos.com.br/sudan-iii-c-i-26100-25-g-fabricante-neon" TargetMode="External"/><Relationship Id="rId928" Type="http://schemas.openxmlformats.org/officeDocument/2006/relationships/hyperlink" Target="https://www.lojaacscientifica.com.br/sudan-iii-ci26100-embalagem-25g" TargetMode="External"/><Relationship Id="rId927" Type="http://schemas.openxmlformats.org/officeDocument/2006/relationships/hyperlink" Target="https://sipac.sig.ufal.br/sipac/visualizaMaterial.do?popup=true&amp;id=28217&amp;acao=12" TargetMode="External"/><Relationship Id="rId926" Type="http://schemas.openxmlformats.org/officeDocument/2006/relationships/hyperlink" Target="https://sipac.sig.ufal.br/sipac/visualizaMaterial.do?popup=true&amp;id=33241&amp;acao=12" TargetMode="External"/><Relationship Id="rId921" Type="http://schemas.openxmlformats.org/officeDocument/2006/relationships/hyperlink" Target="https://www.labimport.com.br/reagentes/solucoes/solucao-tampao-buffer-ph-4-01-500ml-12271" TargetMode="External"/><Relationship Id="rId920" Type="http://schemas.openxmlformats.org/officeDocument/2006/relationships/hyperlink" Target="https://www.quimicenter.com.br/solucao-tampao-buffer-ph-4-00-500ml-dinamica?parceiro=2837&amp;srsltid=AfmBOortBBOXP-bl1DVydoZH1dPnq5jjr6gl8wRtrAo_LAsnElAAYn94Fqo" TargetMode="External"/><Relationship Id="rId925" Type="http://schemas.openxmlformats.org/officeDocument/2006/relationships/hyperlink" Target="https://www.quimicenter.com.br/solucao-tampao-buffer-ph-7-00-500ml-dinamica?parceiro=2837&amp;srsltid=AfmBOoqo58Wcah-U1HJBlB5TCfYJGicr7ZgQW0W9X2G8WAwiXFZXaRWj2n4" TargetMode="External"/><Relationship Id="rId924" Type="http://schemas.openxmlformats.org/officeDocument/2006/relationships/hyperlink" Target="https://www.labimport.com.br/reagentes/solucoes/solucao-tampao-buffer-ph-7-00-500ml" TargetMode="External"/><Relationship Id="rId923" Type="http://schemas.openxmlformats.org/officeDocument/2006/relationships/hyperlink" Target="https://www.formis.com.br/acessorios/reagentes-e-solucoes/solucao-tampao-buffer-ph-7-00-frasco-de-500ml-dinamica?parceiro=7033" TargetMode="External"/><Relationship Id="rId922" Type="http://schemas.openxmlformats.org/officeDocument/2006/relationships/hyperlink" Target="https://sipac.sig.ufal.br/sipac/visualizaMaterial.do?popup=true&amp;id=23701&amp;acao=12" TargetMode="External"/><Relationship Id="rId918" Type="http://schemas.openxmlformats.org/officeDocument/2006/relationships/hyperlink" Target="https://sipac.sig.ufal.br/sipac/visualizaMaterial.do?popup=true&amp;id=23882&amp;acao=12" TargetMode="External"/><Relationship Id="rId917" Type="http://schemas.openxmlformats.org/officeDocument/2006/relationships/hyperlink" Target="https://www.lojaprolab.com.br/tampao-buffer-ph-3-00-80796" TargetMode="External"/><Relationship Id="rId916" Type="http://schemas.openxmlformats.org/officeDocument/2006/relationships/hyperlink" Target="https://www.lojasynth.com/solucoes/solucoes-tampao-e-kcl/solucao-tampao-ph-4-0-buffer" TargetMode="External"/><Relationship Id="rId915" Type="http://schemas.openxmlformats.org/officeDocument/2006/relationships/hyperlink" Target="https://www.didaticasp.com.br/solucao-tampao-ph-300-500ml" TargetMode="External"/><Relationship Id="rId919" Type="http://schemas.openxmlformats.org/officeDocument/2006/relationships/hyperlink" Target="https://www.labimport.com.br/reagentes/solucoes/solucao-tampao-buffer-ph-4-00-500ml" TargetMode="External"/><Relationship Id="rId910" Type="http://schemas.openxmlformats.org/officeDocument/2006/relationships/hyperlink" Target="https://sipac.sig.ufal.br/sipac/visualizaMaterial.do?popup=true&amp;id=23880&amp;acao=12" TargetMode="External"/><Relationship Id="rId914" Type="http://schemas.openxmlformats.org/officeDocument/2006/relationships/hyperlink" Target="https://sipac.sig.ufal.br/sipac/visualizaMaterial.do?popup=true&amp;id=23881&amp;acao=12" TargetMode="External"/><Relationship Id="rId913" Type="http://schemas.openxmlformats.org/officeDocument/2006/relationships/hyperlink" Target="https://ledsindoor.com.br/solucao-tampao-buffer-ph-10-biotec-500-ml" TargetMode="External"/><Relationship Id="rId912" Type="http://schemas.openxmlformats.org/officeDocument/2006/relationships/hyperlink" Target="https://www.google.com.br/search?q=SOLU%C3%87%C3%83O+TAMP%C3%83O+PH+10%2C0+%28BUFFER%29+FRASCO+500+ML&amp;sca_esv=28a9d84c3b887bed&amp;biw=1366&amp;bih=619&amp;tbm=shop&amp;ei=WwfvZbfUDrep1sQPzYic2AI&amp;udm=&amp;ved=0ahUKEwj37f_PqOyEAxW3lJUCHU0EBysQ4dUDCAg&amp;uact=5&amp;oq=SOLU%C3%87%C3%83O+TAMP%C3%83O+PH+10%2C0+%28BUFFER%29+FRASCO+500+ML&amp;gs_lp=Egtwcm9kdWN0cy1jYyIwU09MVcOHw4NPIFRBTVDDg08gUEggMTAsMCAoQlVGRkVSKSBGUkFTQ08gNTAwIE1MSKoaUI0UWI0UcAF4AJABAJgBzgGgAYMDqgEFMC4xLjG4AQPIAQD4AQH4AQKYAgCgAgCoAgCYAwKIBgGSBwCgB4MC&amp;sclient=products-cc" TargetMode="External"/><Relationship Id="rId911" Type="http://schemas.openxmlformats.org/officeDocument/2006/relationships/hyperlink" Target="https://www.orionprodutoscientificos.com.br/solucao-tampao-buffer-ph-1000-500ml-exodo-cientifica" TargetMode="External"/><Relationship Id="rId629" Type="http://schemas.openxmlformats.org/officeDocument/2006/relationships/hyperlink" Target="https://www.lojasynth.com/reagentes-analiticosmaterias-primas/reagentes-analiticosmaterias-primas/fosfato-de-potassio-bibasico-anidro-p-a?parceiro=2827&amp;gad_source=4&amp;gclid=CjwKCAjwzN-vBhAkEiwAYiO7oEuQ9T1rOVdz-Y6ax58w07kGYWWDeqYamKmcim2ngp_KfNpK5jZC5hoCtBwQAvD_BwE&amp;variant_id=301061" TargetMode="External"/><Relationship Id="rId624" Type="http://schemas.openxmlformats.org/officeDocument/2006/relationships/hyperlink" Target="https://sipac.sig.ufal.br/sipac/visualizaMaterial.do?popup=true&amp;id=23727&amp;acao=12" TargetMode="External"/><Relationship Id="rId866" Type="http://schemas.openxmlformats.org/officeDocument/2006/relationships/hyperlink" Target="https://www.didaticasp.com.br/preto-de-eriocromo-t-pa-25g" TargetMode="External"/><Relationship Id="rId623" Type="http://schemas.openxmlformats.org/officeDocument/2006/relationships/hyperlink" Target="https://www.forlabexpress.com.br/fosfato-de-calcio-bb-anidro-pa-500g-acs-cientifica/?srsltid=AfmBOoqW92OV0NvxgqQNgeBwUbzHEfO2eQYIWC6144fuPmeEZ9HduSNyJyw" TargetMode="External"/><Relationship Id="rId865" Type="http://schemas.openxmlformats.org/officeDocument/2006/relationships/hyperlink" Target="https://www.orionprodutoscientificos.com.br/produto/preto-de-eriocromo-t-ci14645-pa-acs-25g-exodo-cientifica.html" TargetMode="External"/><Relationship Id="rId622" Type="http://schemas.openxmlformats.org/officeDocument/2006/relationships/hyperlink" Target="https://www.lojaacscientifica.com.br/fosfato-de-calcio-bb-anidro-pa?variation=14179555" TargetMode="External"/><Relationship Id="rId864" Type="http://schemas.openxmlformats.org/officeDocument/2006/relationships/hyperlink" Target="https://produto.mercadolivre.com.br/MLB-1696220205-preto-eriocromo-t-pa-frasco-25g-_JM?matt_tool=14804773&amp;matt_word=&amp;matt_source=google&amp;matt_campaign_id=14302215543&amp;matt_ad_group_id=130580035590&amp;matt_match_type=&amp;matt_network=g&amp;matt_device=c&amp;matt_creative=542969737626&amp;matt_keyword=&amp;matt_ad_position=&amp;matt_ad_type=pla&amp;matt_merchant_id=504461834&amp;matt_product_id=MLB1696220205&amp;matt_product_partition_id=2268051758590&amp;matt_target_id=pla-2268051758590&amp;cq_src=google_ads&amp;cq_cmp=14302215543&amp;cq_net=g&amp;cq_plt=gp&amp;cq_med=pla&amp;gad_source=1&amp;gclid=Cj0KCQjwncWvBhD_ARIsAEb2HW8AmVD_48BSBnSksGtEEHBCXzMuiBpQHOCa1-k5sKZ5BPK5IVkpWUAaAk6vEALw_wcB" TargetMode="External"/><Relationship Id="rId621" Type="http://schemas.openxmlformats.org/officeDocument/2006/relationships/hyperlink" Target="https://www.labimport.com.br/reagentes/fosfato-de-calcio/fosfato-de-calcio-bibasico-anidro-pa-500g" TargetMode="External"/><Relationship Id="rId863" Type="http://schemas.openxmlformats.org/officeDocument/2006/relationships/hyperlink" Target="https://sipac.sig.ufal.br/sipac/visualizaMaterial.do?popup=true&amp;id=23482&amp;acao=12" TargetMode="External"/><Relationship Id="rId628" Type="http://schemas.openxmlformats.org/officeDocument/2006/relationships/hyperlink" Target="https://sipac.sig.ufal.br/sipac/visualizaMaterial.do?popup=true&amp;id=23731&amp;acao=12" TargetMode="External"/><Relationship Id="rId627" Type="http://schemas.openxmlformats.org/officeDocument/2006/relationships/hyperlink" Target="https://www.lojanetlab.com.br/reagentes/pa/fosfato-de-calcio-monobasico-anidro-pa" TargetMode="External"/><Relationship Id="rId869" Type="http://schemas.openxmlformats.org/officeDocument/2006/relationships/hyperlink" Target="https://www.orionprodutoscientificos.com.br/prolina-l-pa-25g-exodo-cientifica" TargetMode="External"/><Relationship Id="rId626" Type="http://schemas.openxmlformats.org/officeDocument/2006/relationships/hyperlink" Target="https://www.lojaprolab.com.br/fosfato-de-calcio-monobasico-anidro-pa-79069" TargetMode="External"/><Relationship Id="rId868" Type="http://schemas.openxmlformats.org/officeDocument/2006/relationships/hyperlink" Target="https://www.acsreagentes.com.br/hffllqr9t-prolina-l-pa-25g-proquimios" TargetMode="External"/><Relationship Id="rId625" Type="http://schemas.openxmlformats.org/officeDocument/2006/relationships/hyperlink" Target="https://www.labimport.com.br/reagentes/fosfato-de-calcio/fosfato-de-calcio-monobasico-anidro-pa-500g-11967" TargetMode="External"/><Relationship Id="rId867" Type="http://schemas.openxmlformats.org/officeDocument/2006/relationships/hyperlink" Target="https://sipac.sig.ufal.br/sipac/visualizaMaterial.do?popup=true&amp;id=22630&amp;acao=12" TargetMode="External"/><Relationship Id="rId620" Type="http://schemas.openxmlformats.org/officeDocument/2006/relationships/hyperlink" Target="https://sipac.sig.ufal.br/sipac/visualizaMaterial.do?popup=true&amp;id=25749&amp;acao=12" TargetMode="External"/><Relationship Id="rId862" Type="http://schemas.openxmlformats.org/officeDocument/2006/relationships/hyperlink" Target="https://www.laderquimica.com.br/polietilenoglicol-6000-pa-500g-dinamica?utm_source=Site&amp;utm_medium=GoogleShopping&amp;utm_campaign=GooglePMax&amp;srsltid=AfmBOoqvBsvirFlm6-bURJ28WpROPYDv51W5TCJTO5wcyU1LDPznAddeUNo" TargetMode="External"/><Relationship Id="rId861" Type="http://schemas.openxmlformats.org/officeDocument/2006/relationships/hyperlink" Target="https://www.lojasynth.com/reagentes-analiticosmaterias-primas/reagentes-analiticosmaterias-primas/polietilenoglicol-6000-peg-polietileno-glicol-pa?parceiro=2827&amp;gad_source=4&amp;gclid=Cj0KCQjwncWvBhD_ARIsAEb2HW8bWEq_e0xAv91iArZhjf6ZyqEMfuMc47QAPt_3x1mt946aM97weMwaAusvEALw_wcB&amp;variant_id=301356" TargetMode="External"/><Relationship Id="rId860" Type="http://schemas.openxmlformats.org/officeDocument/2006/relationships/hyperlink" Target="https://www.bclab.com.br/quimicos-reagentes/polietilenoglicol-6000-acs-cientifica?variant_id=2485&amp;gad_source=4&amp;gclid=Cj0KCQjwncWvBhD_ARIsAEb2HW8v1BIjyqZSeiXJF2j5ABb6aSZKZsWb4BFEvvyuZ595k3O8_ZodmdwaAjtyEALw_wcB" TargetMode="External"/><Relationship Id="rId619" Type="http://schemas.openxmlformats.org/officeDocument/2006/relationships/hyperlink" Target="https://www.didaticasp.com.br/produto/fosfato-de-amonio-monobasico-pa-1kg-cas-7722-76-1.html" TargetMode="External"/><Relationship Id="rId618" Type="http://schemas.openxmlformats.org/officeDocument/2006/relationships/hyperlink" Target="https://www.orionprodutoscientificos.com.br/fosfato-de-amonio-monobasico-p-a-1000-g-fabricante-neon?utm_source=Site&amp;utm_medium=GoogleMerchant&amp;utm_campaign=GoogleMerchant" TargetMode="External"/><Relationship Id="rId613" Type="http://schemas.openxmlformats.org/officeDocument/2006/relationships/hyperlink" Target="https://www.labimport.com.br/reagentes/formaldeido/formaldeido-pa-acs-1-l-11959" TargetMode="External"/><Relationship Id="rId855" Type="http://schemas.openxmlformats.org/officeDocument/2006/relationships/hyperlink" Target="https://sipac.sig.ufal.br/sipac/visualizaMaterial.do?popup=true&amp;id=23825&amp;acao=12" TargetMode="External"/><Relationship Id="rId612" Type="http://schemas.openxmlformats.org/officeDocument/2006/relationships/hyperlink" Target="https://sipac.sig.ufal.br/sipac/visualizaMaterial.do?popup=true&amp;id=3545&amp;acao=12" TargetMode="External"/><Relationship Id="rId854" Type="http://schemas.openxmlformats.org/officeDocument/2006/relationships/hyperlink" Target="https://www.lojalinklab.com.br/permanganato-de-potassio-pa-acs-500g-controle-pc-e-pf" TargetMode="External"/><Relationship Id="rId611" Type="http://schemas.openxmlformats.org/officeDocument/2006/relationships/hyperlink" Target="https://www.forlabexpress.com.br/formaldeido-37-puro-inibido-1l-acs-cientifica/?srsltid=AfmBOooiBAJ8khGH6U6i1wQpeRbdW4xxcb7N6sMWmnY_9nX1SqhpzEKQAOo" TargetMode="External"/><Relationship Id="rId853" Type="http://schemas.openxmlformats.org/officeDocument/2006/relationships/hyperlink" Target="https://sipac.sig.ufal.br/sipac/visualizaMaterial.do?popup=true&amp;id=23822&amp;acao=12" TargetMode="External"/><Relationship Id="rId610" Type="http://schemas.openxmlformats.org/officeDocument/2006/relationships/hyperlink" Target="https://quimisulsc.com.br/produto/formaldeido-37/?srsltid=AfmBOopfac4jLHV35ZDfuXD3J0KIpYOxjOb8qZeiXWb_LHi9svn5QSAB_s4" TargetMode="External"/><Relationship Id="rId852" Type="http://schemas.openxmlformats.org/officeDocument/2006/relationships/hyperlink" Target="https://www.orionprodutoscientificos.com.br/peptona-bacteriologica-500g-exodo-cientifica?utm_source=Site&amp;utm_medium=GoogleMerchant&amp;utm_campaign=GoogleMerchant&amp;gad_source=4&amp;gclid=Cj0KCQjwncWvBhD_ARIsAEb2HW9ZrOTweLmaE5l1W6nLxqkZexyPHzXxE9x2yyCOkAmQ7MOtP-0qFdcaAufeEALw_wcB" TargetMode="External"/><Relationship Id="rId617" Type="http://schemas.openxmlformats.org/officeDocument/2006/relationships/hyperlink" Target="https://www.labimport.com.br/reagentes/fosfato-de-amonio/fosfato-de-amonio-monobasico-pa-acs-1kg" TargetMode="External"/><Relationship Id="rId859" Type="http://schemas.openxmlformats.org/officeDocument/2006/relationships/hyperlink" Target="https://sipac.sig.ufal.br/sipac/visualizaMaterial.do?popup=true&amp;id=25884&amp;acao=12" TargetMode="External"/><Relationship Id="rId616" Type="http://schemas.openxmlformats.org/officeDocument/2006/relationships/hyperlink" Target="https://sipac.sig.ufal.br/sipac/visualizaMaterial.do?popup=true&amp;id=23725&amp;acao=12" TargetMode="External"/><Relationship Id="rId858" Type="http://schemas.openxmlformats.org/officeDocument/2006/relationships/hyperlink" Target="https://aclmaringa.com.br/produto/coaguplasma/" TargetMode="External"/><Relationship Id="rId615" Type="http://schemas.openxmlformats.org/officeDocument/2006/relationships/hyperlink" Target="https://www.forlabexpress.com.br/formaldeido-37-puro-inibido-1l-acs-cientifica/?srsltid=AfmBOoq0vcayr9ZoDY7yjoYkVbBxriJB6EhKR6GnKNBNgeSYB2N_3t9Xs58" TargetMode="External"/><Relationship Id="rId857" Type="http://schemas.openxmlformats.org/officeDocument/2006/relationships/hyperlink" Target="https://sipac.sig.ufal.br/sipac/visualizaMaterial.do?popup=true&amp;id=33034&amp;acao=12" TargetMode="External"/><Relationship Id="rId614" Type="http://schemas.openxmlformats.org/officeDocument/2006/relationships/hyperlink" Target="https://www.orionprodutoscientificos.com.br/formaldeido-pa-1l-exodo-cientifica" TargetMode="External"/><Relationship Id="rId856" Type="http://schemas.openxmlformats.org/officeDocument/2006/relationships/hyperlink" Target="https://www.lojaacscientifica.com.br/peroxido-de-hidrogenio-50-200-vol-agua-oxigenada-pa?variation=14183254" TargetMode="External"/><Relationship Id="rId851" Type="http://schemas.openxmlformats.org/officeDocument/2006/relationships/hyperlink" Target="https://www.lojaprolab.com.br/peptona-bacteriologica-80519?utm_source=google&amp;utm_medium=feed&amp;utm_campaign=shopping&amp;gad_source=4&amp;gclid=Cj0KCQjwncWvBhD_ARIsAEb2HW_knTgC7hM6b1iGcdafNOC_25uwmdovWxVsUXFOWfCR2bLcR9sZLxwaAh-JEALw_wcB" TargetMode="External"/><Relationship Id="rId850" Type="http://schemas.openxmlformats.org/officeDocument/2006/relationships/hyperlink" Target="https://www.lojanetlab.com.br/meios-de-cultura/agar/peptona-bacteriologica-frasco-500g-k25-611701-kasvi?parceiro=7105&amp;gad_source=4&amp;gclid=Cj0KCQjwncWvBhD_ARIsAEb2HW9TVe3lZOOuOxyH2ODYHoQLKFxPoJr90ZkrrB6MusxqjVawecfIKYIaAhgGEALw_wcB" TargetMode="External"/><Relationship Id="rId409" Type="http://schemas.openxmlformats.org/officeDocument/2006/relationships/hyperlink" Target="https://sipac.sig.ufal.br/sipac/visualizaMaterial.do?popup=true&amp;id=23478&amp;acao=12" TargetMode="External"/><Relationship Id="rId404" Type="http://schemas.openxmlformats.org/officeDocument/2006/relationships/hyperlink" Target="https://www.orionprodutoscientificos.com.br/carbonato-de-sodio-anidro-pa-500g-exodo-cientifica" TargetMode="External"/><Relationship Id="rId646" Type="http://schemas.openxmlformats.org/officeDocument/2006/relationships/hyperlink" Target="https://www.orionprodutoscientificos.com.br/fosfato-de-sodio-monobasico-anidro-98-p-a-500-g-fabricante-neon?utm_source=Site&amp;utm_medium=GoogleMerchant&amp;utm_campaign=GoogleMerchant" TargetMode="External"/><Relationship Id="rId888" Type="http://schemas.openxmlformats.org/officeDocument/2006/relationships/hyperlink" Target="https://www.orionprodutoscientificos.com.br/sacarose-p-a-1000-g-fabricante-neon?utm_source=Site&amp;utm_medium=GoogleMerchant&amp;utm_campaign=GoogleMerchant" TargetMode="External"/><Relationship Id="rId403" Type="http://schemas.openxmlformats.org/officeDocument/2006/relationships/hyperlink" Target="https://www.lojalinklab.com.br/carbonato-de-sodio-anidro-pa-500g-controle-pc?parceiro=1142" TargetMode="External"/><Relationship Id="rId645" Type="http://schemas.openxmlformats.org/officeDocument/2006/relationships/hyperlink" Target="https://www.labimport.com.br/reagentes/fosfato-de-sodio/fosfato-de-sodio-monobasico-anidro-pa-500g-11983" TargetMode="External"/><Relationship Id="rId887" Type="http://schemas.openxmlformats.org/officeDocument/2006/relationships/hyperlink" Target="https://www.laderquimica.com.br/sacarose-pa-1kg-neon?utm_source=Site&amp;utm_medium=GoogleMerchant&amp;utm_campaign=GoogleMerchant&amp;srsltid=AfmBOooDpFAgwYdK8gCJz-6ArLwJH3ciwB-4_9t8Cjf5cbYnhwUhEQ85Y7E" TargetMode="External"/><Relationship Id="rId402" Type="http://schemas.openxmlformats.org/officeDocument/2006/relationships/hyperlink" Target="https://www.orionprodutoscientificos.com.br/carbonato-de-sodio-anidro-p-a-500-g-fabricante-neon?utm_source=Site&amp;utm_medium=GoogleMerchant&amp;utm_campaign=GoogleMerchant" TargetMode="External"/><Relationship Id="rId644" Type="http://schemas.openxmlformats.org/officeDocument/2006/relationships/hyperlink" Target="https://sipac.sig.ufal.br/sipac/visualizaMaterial.do?popup=true&amp;id=25863&amp;acao=12" TargetMode="External"/><Relationship Id="rId886" Type="http://schemas.openxmlformats.org/officeDocument/2006/relationships/hyperlink" Target="https://www.forlabexpress.com.br/sacarose-sucrose-pa-acs-1kg-acs-cientifica/?srsltid=AfmBOopSXW72BqVsuYhvJ2dLg-gbceRfJuaX6caWxNI_u1jJTFwFvwzvKMA" TargetMode="External"/><Relationship Id="rId401" Type="http://schemas.openxmlformats.org/officeDocument/2006/relationships/hyperlink" Target="https://sipac.sig.ufal.br/sipac/visualizaMaterial.do?popup=true&amp;id=23488&amp;acao=12" TargetMode="External"/><Relationship Id="rId643" Type="http://schemas.openxmlformats.org/officeDocument/2006/relationships/hyperlink" Target="https://www.orionprodutoscientificos.com.br/fosfato-de-sodio-bibasico-anidro-p-a-500-g-fabricante-neon?utm_source=Site&amp;utm_medium=GoogleMerchant&amp;utm_campaign=GoogleMerchant" TargetMode="External"/><Relationship Id="rId885" Type="http://schemas.openxmlformats.org/officeDocument/2006/relationships/hyperlink" Target="https://sipac.sig.ufal.br/sipac/visualizaMaterial.do?popup=true&amp;id=23716&amp;acao=12" TargetMode="External"/><Relationship Id="rId408" Type="http://schemas.openxmlformats.org/officeDocument/2006/relationships/hyperlink" Target="https://www.lojalinklab.com.br/carboximetilcelulose-sal-sodico-pa-500g-sem-controle?parceiro=1142" TargetMode="External"/><Relationship Id="rId407" Type="http://schemas.openxmlformats.org/officeDocument/2006/relationships/hyperlink" Target="https://www.orionprodutoscientificos.com.br/carboximetilcelulose-sal-sodico-pa-500g-exodo-cientifica" TargetMode="External"/><Relationship Id="rId649" Type="http://schemas.openxmlformats.org/officeDocument/2006/relationships/hyperlink" Target="https://www.lojaprolab.com.br/fosfato-de-sodio-tribasico-12h2o-pa-acs-79082" TargetMode="External"/><Relationship Id="rId406" Type="http://schemas.openxmlformats.org/officeDocument/2006/relationships/hyperlink" Target="https://www.labimport.com.br/reagentes/carboximetilcelulose/carboximetilcelulose-sal-sodico-pa-500g" TargetMode="External"/><Relationship Id="rId648" Type="http://schemas.openxmlformats.org/officeDocument/2006/relationships/hyperlink" Target="https://sipac.sig.ufal.br/sipac/visualizaMaterial.do?popup=true&amp;id=25750&amp;acao=12" TargetMode="External"/><Relationship Id="rId405" Type="http://schemas.openxmlformats.org/officeDocument/2006/relationships/hyperlink" Target="https://sipac.sig.ufal.br/sipac/visualizaMaterial.do?popup=true&amp;id=23484&amp;acao=12" TargetMode="External"/><Relationship Id="rId647" Type="http://schemas.openxmlformats.org/officeDocument/2006/relationships/hyperlink" Target="https://www.didaticasp.com.br/produto/fosfato-de-sodio-monobasico-anidro-98-pa-250g-cas-7558-80-7.html" TargetMode="External"/><Relationship Id="rId889" Type="http://schemas.openxmlformats.org/officeDocument/2006/relationships/hyperlink" Target="https://sipac.sig.ufal.br/sipac/visualizaMaterial.do?popup=true&amp;id=33038&amp;acao=12" TargetMode="External"/><Relationship Id="rId880" Type="http://schemas.openxmlformats.org/officeDocument/2006/relationships/hyperlink" Target="https://sipac.sig.ufal.br/sipac/visualizaMaterial.do?popup=true&amp;id=25885&amp;acao=12" TargetMode="External"/><Relationship Id="rId400" Type="http://schemas.openxmlformats.org/officeDocument/2006/relationships/hyperlink" Target="https://www.carvalhaes.net/produto/detalhes/125025000/carbonato-de-sodio-10h2o-99-p-bioquimica-500g" TargetMode="External"/><Relationship Id="rId642" Type="http://schemas.openxmlformats.org/officeDocument/2006/relationships/hyperlink" Target="https://www.lojaacscientifica.com.br/fosfato-de-sodio-dibasico-anidro-pa-acs?variation=14179609" TargetMode="External"/><Relationship Id="rId884" Type="http://schemas.openxmlformats.org/officeDocument/2006/relationships/hyperlink" Target="https://sipac.sig.ufal.br/sipac/visualizaMaterial.do?popup=true&amp;id=25886&amp;acao=12" TargetMode="External"/><Relationship Id="rId641" Type="http://schemas.openxmlformats.org/officeDocument/2006/relationships/hyperlink" Target="https://www.labimport.com.br/reagentes/fosfato-de-sodio/fosfato-de-sodio-dibasico-anidro-pa-500g-15477" TargetMode="External"/><Relationship Id="rId883" Type="http://schemas.openxmlformats.org/officeDocument/2006/relationships/hyperlink" Target="https://sipac.sig.ufal.br/sipac/visualizaMaterial.do?popup=true&amp;id=33221&amp;acao=12" TargetMode="External"/><Relationship Id="rId640" Type="http://schemas.openxmlformats.org/officeDocument/2006/relationships/hyperlink" Target="https://sipac.sig.ufal.br/sipac/visualizaMaterial.do?popup=true&amp;id=625&amp;acao=12" TargetMode="External"/><Relationship Id="rId882" Type="http://schemas.openxmlformats.org/officeDocument/2006/relationships/hyperlink" Target="https://www.laderquimica.com.br/resorcina-pa-100g?utm_source=Site&amp;utm_medium=GoogleMerchant&amp;utm_campaign=GoogleMerchant&amp;srsltid=AfmBOoo0FfTqmeuR0j8eIxJ-tLLlBX3Cguc7u_cMfqh0avhlTghMpD-Bd14" TargetMode="External"/><Relationship Id="rId881" Type="http://schemas.openxmlformats.org/officeDocument/2006/relationships/hyperlink" Target="https://www.ciruvix.com.br/resorcina-resorcinol-pa-acs-dinamica-100gr" TargetMode="External"/><Relationship Id="rId635" Type="http://schemas.openxmlformats.org/officeDocument/2006/relationships/hyperlink" Target="https://www.labimport.com.br/reagentes/fosfato-de-potassio/fosfato-de-potassio-monobasico-anidro-pa-500g" TargetMode="External"/><Relationship Id="rId877" Type="http://schemas.openxmlformats.org/officeDocument/2006/relationships/hyperlink" Target="https://www.lojaacscientifica.com.br/reativo-fixador-de-bouin-embalagem-1l" TargetMode="External"/><Relationship Id="rId634" Type="http://schemas.openxmlformats.org/officeDocument/2006/relationships/hyperlink" Target="https://www.lojasynth.com/reagentes-analiticosmaterias-primas/reagentes-analiticosmaterias-primas/fosfato-de-sodio-monobasico-anidro-p-a?parceiro=2827&amp;variant_id=1018&amp;gad_source=4&amp;gclid=CjwKCAjwzN-vBhAkEiwAYiO7oAMQVE5xhlSICNLXV1Uz4ReDyfFrFbl3w5zka7vb9WiYf4oGgBMZbRoCAloQAvD_BwE" TargetMode="External"/><Relationship Id="rId876" Type="http://schemas.openxmlformats.org/officeDocument/2006/relationships/hyperlink" Target="https://sipac.sig.ufal.br/sipac/visualizaMaterial.do?popup=true&amp;id=28268&amp;acao=12" TargetMode="External"/><Relationship Id="rId633" Type="http://schemas.openxmlformats.org/officeDocument/2006/relationships/hyperlink" Target="https://www.bclab.com.br/quimicos-reagentes/fosfato-de-potassio-monobasico-anidro-pa-500g-exodo?gad_source=4&amp;gclid=CjwKCAjwzN-vBhAkEiwAYiO7oPzSMh6l4JV7LlLWLonF54r5cyOUe6Dc6xAcySsV4TqRHWq8CVRAERoCwWQQAvD_BwE" TargetMode="External"/><Relationship Id="rId875" Type="http://schemas.openxmlformats.org/officeDocument/2006/relationships/hyperlink" Target="https://www.forlabexpress.com.br/reagente-de-bradford-pronto-para-uso-para-determinac-o-da-concentrac-o-de-proteinas-500ml-nova-biotecnologia/?srsltid=AfmBOoqXaCjE14GdLKZxS-1eItmfkjViUzkYdD6WanFYE057s_MDtQDoFig" TargetMode="External"/><Relationship Id="rId632" Type="http://schemas.openxmlformats.org/officeDocument/2006/relationships/hyperlink" Target="https://sipac.sig.ufal.br/sipac/visualizaMaterial.do?popup=true&amp;id=10942&amp;acao=12" TargetMode="External"/><Relationship Id="rId874" Type="http://schemas.openxmlformats.org/officeDocument/2006/relationships/hyperlink" Target="https://www.ludwigbiotec.com.br/product-page/bradford-500-ml" TargetMode="External"/><Relationship Id="rId639" Type="http://schemas.openxmlformats.org/officeDocument/2006/relationships/hyperlink" Target="https://www.lojaprolab.com.br/fosfato-de-sodio-bibasico-7h2o-pa-acs-79077" TargetMode="External"/><Relationship Id="rId638" Type="http://schemas.openxmlformats.org/officeDocument/2006/relationships/hyperlink" Target="https://www.lojasynth.com/reagentes-analiticosmaterias-primas/reagentes-analiticosmaterias-primas/fosfato-de-sodio-bibasico-7h2o-p-a-a-c-s?parceiro=2827&amp;variant_id=1012&amp;srsltid=AfmBOoo4uafjROP2kU9FRgtyCaV-fYkcNirJ_1D8cZWOLUEpdVzOANpLrCI" TargetMode="External"/><Relationship Id="rId637" Type="http://schemas.openxmlformats.org/officeDocument/2006/relationships/hyperlink" Target="https://www.lojaacscientifica.com.br/fosfato-de-sodio-dibasico-7h2o-pa-acs-heptahidratado?variation=14179606" TargetMode="External"/><Relationship Id="rId879" Type="http://schemas.openxmlformats.org/officeDocument/2006/relationships/hyperlink" Target="https://www.lojalinklab.com.br/fixador-bouin-1l-sem-controle?parceiro=1142" TargetMode="External"/><Relationship Id="rId636" Type="http://schemas.openxmlformats.org/officeDocument/2006/relationships/hyperlink" Target="https://sipac.sig.ufal.br/sipac/visualizaMaterial.do?popup=true&amp;id=32631&amp;acao=12" TargetMode="External"/><Relationship Id="rId878" Type="http://schemas.openxmlformats.org/officeDocument/2006/relationships/hyperlink" Target="https://www.orionprodutoscientificos.com.br/reativo-fixador-de-bouin-1l-exodo-cientifica?utm_source=Site&amp;utm_medium=GoogleMerchant&amp;utm_campaign=GoogleMerchant" TargetMode="External"/><Relationship Id="rId631" Type="http://schemas.openxmlformats.org/officeDocument/2006/relationships/hyperlink" Target="https://www.google.com/shopping/product/1?client=firefox-b-lm&amp;q=FOSFATO+DE+POT%C3%81SSIO+BIB%C3%81SICO+ANIDRO+P.A.&amp;prds=epd:10821406581902276862,eto:10821406581902276862_0,pid:10821406581902276862&amp;sa=X&amp;ved=0ahUKEwiOs_2Pxf6EAxU4PbkGHaHDCWUQ9pwGCAU" TargetMode="External"/><Relationship Id="rId873" Type="http://schemas.openxmlformats.org/officeDocument/2006/relationships/hyperlink" Target="https://www.lojaprolab.com.br/reagente-de-bradford-pronto-para-uso-frasco-500ml-90911" TargetMode="External"/><Relationship Id="rId630" Type="http://schemas.openxmlformats.org/officeDocument/2006/relationships/hyperlink" Target="https://www.lojalinklab.com.br/fosfato-de-potassio-bb-anidro-pa-1kg-sem-controle?parceiro=1142&amp;utm_medium=cpc&amp;utm_source=google&amp;utm_campaign=20614034119&amp;utm_content=__c_&amp;utm_term=&amp;utm_local=&amp;utm_device=c&amp;gad_source=4&amp;gclid=CjwKCAjwzN-vBhAkEiwAYiO7oBkZWONksFLi0qeme5Nt1MTTtKwxQxr5RR7WLQn3ywUkn-uE1jG8aRoCesIQAvD_BwE" TargetMode="External"/><Relationship Id="rId872" Type="http://schemas.openxmlformats.org/officeDocument/2006/relationships/hyperlink" Target="https://sipac.sig.ufal.br/sipac/visualizaMaterial.do?popup=true&amp;id=27613&amp;acao=12" TargetMode="External"/><Relationship Id="rId871" Type="http://schemas.openxmlformats.org/officeDocument/2006/relationships/hyperlink" Target="https://sipac.sig.ufal.br/sipac/visualizaMaterial.do?popup=true&amp;id=33036&amp;acao=12" TargetMode="External"/><Relationship Id="rId870" Type="http://schemas.openxmlformats.org/officeDocument/2006/relationships/hyperlink" Target="https://www.lojaprolab.com.br/prolina-l-79511" TargetMode="External"/><Relationship Id="rId829" Type="http://schemas.openxmlformats.org/officeDocument/2006/relationships/hyperlink" Target="https://www.lojalinklab.com.br/oxido-de-ferro-iii-ico-verm-pa-100g-sem-controle?parceiro=1142" TargetMode="External"/><Relationship Id="rId828" Type="http://schemas.openxmlformats.org/officeDocument/2006/relationships/hyperlink" Target="https://www.orionprodutoscientificos.com.br/oxido-de-ferro-iii-ico-verm-pa-100g-exodo-cientifica?utm_source=Site&amp;utm_medium=GoogleMerchant&amp;utm_campaign=GoogleMerchant" TargetMode="External"/><Relationship Id="rId827" Type="http://schemas.openxmlformats.org/officeDocument/2006/relationships/hyperlink" Target="https://www.forlabexpress.com.br/oxido-de-ferro-iii-ico-vermelho-pa-100g-acs-cientifica/?srsltid=AfmBOorETJonfe_lDskW2qK5jhQ-rbAKPziK9hdY01aKcDINZJFLCOs7JRA" TargetMode="External"/><Relationship Id="rId822" Type="http://schemas.openxmlformats.org/officeDocument/2006/relationships/hyperlink" Target="https://sipac.sig.ufal.br/sipac/visualizaMaterial.do?popup=true&amp;id=28153&amp;acao=12" TargetMode="External"/><Relationship Id="rId821" Type="http://schemas.openxmlformats.org/officeDocument/2006/relationships/hyperlink" Target="https://www.eplab.com.br/sulfato-de-cobre-ii-ico-5-h2o-pentahidratado-pa-acs-500g-acs" TargetMode="External"/><Relationship Id="rId820" Type="http://schemas.openxmlformats.org/officeDocument/2006/relationships/hyperlink" Target="https://www.orionprodutoscientificos.com.br/oxido-de-cobre-ii-ico-preto-pa-500g-exodo-cientifica?utm_source=Site&amp;utm_medium=GoogleMerchant&amp;utm_campaign=GoogleMerchant" TargetMode="External"/><Relationship Id="rId826" Type="http://schemas.openxmlformats.org/officeDocument/2006/relationships/hyperlink" Target="https://sipac.sig.ufal.br/sipac/visualizaMaterial.do?popup=true&amp;id=25868&amp;acao=12" TargetMode="External"/><Relationship Id="rId825" Type="http://schemas.openxmlformats.org/officeDocument/2006/relationships/hyperlink" Target="https://www.orionprodutoscientificos.com.br/oxido-de-estanho-pa-100g-exodo-cientifica?utm_source=Site&amp;utm_medium=GoogleMerchant&amp;utm_campaign=GoogleMerchant" TargetMode="External"/><Relationship Id="rId824" Type="http://schemas.openxmlformats.org/officeDocument/2006/relationships/hyperlink" Target="https://sipac.sig.ufal.br/sipac/visualizaMaterial.do?popup=true&amp;id=24917&amp;acao=12" TargetMode="External"/><Relationship Id="rId823" Type="http://schemas.openxmlformats.org/officeDocument/2006/relationships/hyperlink" Target="https://www.lojalinklab.com.br/oxido-de-deuterio-99-atom-d-10g-sem-controle?parceiro=1142" TargetMode="External"/><Relationship Id="rId819" Type="http://schemas.openxmlformats.org/officeDocument/2006/relationships/hyperlink" Target="https://www.labimport.com.br/reagentes/oxido-de-cobre/oxido-de-cobre-ii-ico-em-po-pa-500g-12167" TargetMode="External"/><Relationship Id="rId818" Type="http://schemas.openxmlformats.org/officeDocument/2006/relationships/hyperlink" Target="https://sipac.sig.ufal.br/sipac/visualizaMaterial.do?popup=true&amp;id=30423&amp;acao=12" TargetMode="External"/><Relationship Id="rId817" Type="http://schemas.openxmlformats.org/officeDocument/2006/relationships/hyperlink" Target="https://www.orionprodutoscientificos.com.br/oxido-de-calcio-pa-500g-exodo-cientifica" TargetMode="External"/><Relationship Id="rId816" Type="http://schemas.openxmlformats.org/officeDocument/2006/relationships/hyperlink" Target="https://quimisulsc.com.br/produto/oxido-de-calcio-pa-500g/?srsltid=AfmBOoos2bpSeGe7FuVmEL9w_z19Vj7cdIXJC0jp3jBFE7orhvexygvUO2w" TargetMode="External"/><Relationship Id="rId811" Type="http://schemas.openxmlformats.org/officeDocument/2006/relationships/hyperlink" Target="https://www.orionprodutoscientificos.com.br/oxido-de-aluminio-pa-500g-exodo-cientifica" TargetMode="External"/><Relationship Id="rId810" Type="http://schemas.openxmlformats.org/officeDocument/2006/relationships/hyperlink" Target="https://sipac.sig.ufal.br/sipac/visualizaMaterial.do?popup=true&amp;id=30422&amp;acao=12" TargetMode="External"/><Relationship Id="rId815" Type="http://schemas.openxmlformats.org/officeDocument/2006/relationships/hyperlink" Target="https://www.labimport.com.br/reagentes/oxido-de-calcio/oxido-de-calcio-pa-500g-12163" TargetMode="External"/><Relationship Id="rId814" Type="http://schemas.openxmlformats.org/officeDocument/2006/relationships/hyperlink" Target="https://sipac.sig.ufal.br/sipac/visualizaMaterial.do?popup=true&amp;id=23714&amp;acao=12" TargetMode="External"/><Relationship Id="rId813" Type="http://schemas.openxmlformats.org/officeDocument/2006/relationships/hyperlink" Target="https://www.eplab.com.br/oxido-de-aluminio-pa-500gr-dinamica" TargetMode="External"/><Relationship Id="rId812" Type="http://schemas.openxmlformats.org/officeDocument/2006/relationships/hyperlink" Target="https://www.lojaprlabor.com.br/produtos/oxido-de-aluminio-pa-500g/?pf=gs&amp;variant=351684369" TargetMode="External"/><Relationship Id="rId609" Type="http://schemas.openxmlformats.org/officeDocument/2006/relationships/hyperlink" Target="https://www.labimport.com.br/reagentes/formaldeido/formaldeido-37-puro-inibido-1-l-11955" TargetMode="External"/><Relationship Id="rId608" Type="http://schemas.openxmlformats.org/officeDocument/2006/relationships/hyperlink" Target="https://sipac.sig.ufal.br/sipac/visualizaMaterial.do?popup=true&amp;id=11205&amp;acao=12" TargetMode="External"/><Relationship Id="rId607" Type="http://schemas.openxmlformats.org/officeDocument/2006/relationships/hyperlink" Target="https://www.lojalinklab.com.br/fluoreto-de-sodio-pa-500g-controle-eb-e-pc" TargetMode="External"/><Relationship Id="rId849" Type="http://schemas.openxmlformats.org/officeDocument/2006/relationships/hyperlink" Target="https://sipac.sig.ufal.br/sipac/visualizaMaterial.do?popup=true&amp;id=32540&amp;acao=12" TargetMode="External"/><Relationship Id="rId602" Type="http://schemas.openxmlformats.org/officeDocument/2006/relationships/hyperlink" Target="https://sipac.sig.ufal.br/sipac/visualizaMaterial.do?popup=true&amp;id=22997&amp;acao=12" TargetMode="External"/><Relationship Id="rId844" Type="http://schemas.openxmlformats.org/officeDocument/2006/relationships/hyperlink" Target="https://www.lojalinklab.com.br/pancreatina-pa-500g-sem-controle?parceiro=1142" TargetMode="External"/><Relationship Id="rId601" Type="http://schemas.openxmlformats.org/officeDocument/2006/relationships/hyperlink" Target="https://www.lojalinklab.com.br/ferrocianeto-de-potassio-3h2o-pa-250g-sem-controle?parceiro=1142" TargetMode="External"/><Relationship Id="rId843" Type="http://schemas.openxmlformats.org/officeDocument/2006/relationships/hyperlink" Target="https://www.labimport.com.br/reagentes/pancreatina/pancreatina-pa-500g" TargetMode="External"/><Relationship Id="rId600" Type="http://schemas.openxmlformats.org/officeDocument/2006/relationships/hyperlink" Target="https://www.orionprodutoscientificos.com.br/ferrocianeto-de-potassio-3h2o-pa-250g-exodo-cientifica" TargetMode="External"/><Relationship Id="rId842" Type="http://schemas.openxmlformats.org/officeDocument/2006/relationships/hyperlink" Target="https://www.orionprodutoscientificos.com.br/pancreatina-pa-500g-exodo-cientifica?utm_source=Site&amp;utm_medium=GoogleMerchant&amp;utm_campaign=GoogleMerchant&amp;gad_source=4&amp;gclid=Cj0KCQjwncWvBhD_ARIsAEb2HW92rnt5-jI6l83tUqU8xNAgiyyzjLzcz8tHo3w92jaT_cLlfSvZ8GQaAp0REALw_wcB" TargetMode="External"/><Relationship Id="rId841" Type="http://schemas.openxmlformats.org/officeDocument/2006/relationships/hyperlink" Target="https://sipac.sig.ufal.br/sipac/visualizaMaterial.do?popup=true&amp;id=24914&amp;acao=12" TargetMode="External"/><Relationship Id="rId606" Type="http://schemas.openxmlformats.org/officeDocument/2006/relationships/hyperlink" Target="https://sipac.sig.ufal.br/sipac/visualizaMaterial.do?popup=true&amp;id=18091&amp;acao=12" TargetMode="External"/><Relationship Id="rId848" Type="http://schemas.openxmlformats.org/officeDocument/2006/relationships/hyperlink" Target="https://www.orionprodutoscientificos.com.br/parafina-histologica-58-62-1kg-exodo-cientifica" TargetMode="External"/><Relationship Id="rId605" Type="http://schemas.openxmlformats.org/officeDocument/2006/relationships/hyperlink" Target="https://www.orionprodutoscientificos.com.br/floroglucinolfluroglucina-2h2o-pa-25g-exodo-cientifica" TargetMode="External"/><Relationship Id="rId847" Type="http://schemas.openxmlformats.org/officeDocument/2006/relationships/hyperlink" Target="https://www.labspeq.com.br/parafina-histologica-58-62-1kg-marca-exodo/" TargetMode="External"/><Relationship Id="rId604" Type="http://schemas.openxmlformats.org/officeDocument/2006/relationships/hyperlink" Target="https://www.lojaacscientifica.com.br/floroglucinolfluroglucina-2h2o-pa-embalagem-25g" TargetMode="External"/><Relationship Id="rId846" Type="http://schemas.openxmlformats.org/officeDocument/2006/relationships/hyperlink" Target="https://www.lojasynth.com/reagentes-analiticosmaterias-primas/reagentes-analiticosmaterias-primas/parafina-58-62-granulada?variant_id=301298" TargetMode="External"/><Relationship Id="rId603" Type="http://schemas.openxmlformats.org/officeDocument/2006/relationships/hyperlink" Target="https://www.lojalinklab.com.br/floroglucinol-fluroglucina-2h2o-pa-25g-sem-controle?parceiro=1142" TargetMode="External"/><Relationship Id="rId845" Type="http://schemas.openxmlformats.org/officeDocument/2006/relationships/hyperlink" Target="https://sipac.sig.ufal.br/sipac/visualizaMaterial.do?popup=true&amp;id=23754&amp;acao=12" TargetMode="External"/><Relationship Id="rId840" Type="http://schemas.openxmlformats.org/officeDocument/2006/relationships/hyperlink" Target="https://www.lojanetlab.com.br/reagentes/marcador-de-peso-molecular/marcador-de-peso-molecular-1-kb-frasco-com-500-k9-1000l-kasvi" TargetMode="External"/><Relationship Id="rId839" Type="http://schemas.openxmlformats.org/officeDocument/2006/relationships/hyperlink" Target="https://www.acsreagentes.com.br/marcador-de-peso-molecular-1-kb.-frasco-com-500-ul?utm_source=Site&amp;utm_medium=GoogleMerchant&amp;utm_campaign=GoogleMerchant&amp;gad_source=4&amp;gclid=Cj0KCQjwncWvBhD_ARIsAEb2HW_4G6CGaEpB1B8LhD-c5qwzcb-VldAUqMvNTtGhLOKnlwZVwpPbny0aAo1sEALw_wcB" TargetMode="External"/><Relationship Id="rId838" Type="http://schemas.openxmlformats.org/officeDocument/2006/relationships/hyperlink" Target="https://www.orionprodutoscientificos.com.br/marcador-de-peso-molecular-1-kb-frasco-com-500-ul-kasvi?utm_source=Site&amp;utm_medium=GoogleMerchant&amp;utm_campaign=GoogleMerchant&amp;gad_source=4&amp;gclid=Cj0KCQjwncWvBhD_ARIsAEb2HW9Zkx49nlCYjL-w4B_kKkoENMaXxeXRaOBD9pMfV8dsZCE3G0tLkCsaArldEALw_wcB" TargetMode="External"/><Relationship Id="rId833" Type="http://schemas.openxmlformats.org/officeDocument/2006/relationships/hyperlink" Target="https://www.orionprodutoscientificos.com.br/oxido-de-manganes-iv-250-g-fabricante-neon?utm_source=Site&amp;utm_medium=GoogleMerchant&amp;utm_campaign=GoogleMerchant" TargetMode="External"/><Relationship Id="rId832" Type="http://schemas.openxmlformats.org/officeDocument/2006/relationships/hyperlink" Target="https://www.labimport.com.br/reagentes/oxido-de-manganes/oxido-de-manganes-iv-90-a-95-pa-bioxido-500g" TargetMode="External"/><Relationship Id="rId831" Type="http://schemas.openxmlformats.org/officeDocument/2006/relationships/hyperlink" Target="https://www.lojaacscientifica.com.br/oxido-de-manganes-iv-90-95-po-pa-bioxido-embalagem-500g" TargetMode="External"/><Relationship Id="rId830" Type="http://schemas.openxmlformats.org/officeDocument/2006/relationships/hyperlink" Target="https://sipac.sig.ufal.br/sipac/visualizaMaterial.do?popup=true&amp;id=30424&amp;acao=12" TargetMode="External"/><Relationship Id="rId837" Type="http://schemas.openxmlformats.org/officeDocument/2006/relationships/hyperlink" Target="https://sipac.sig.ufal.br/sipac/visualizaMaterial.do?popup=true&amp;id=33220&amp;acao=12" TargetMode="External"/><Relationship Id="rId836" Type="http://schemas.openxmlformats.org/officeDocument/2006/relationships/hyperlink" Target="https://www.sigmaaldrich.com/BR/pt/product/aldrich/204315" TargetMode="External"/><Relationship Id="rId835" Type="http://schemas.openxmlformats.org/officeDocument/2006/relationships/hyperlink" Target="https://www.carvalhaes.net/produto/detalhes/193980100/oxido-de-selenio-iv-99999-p-tracos-de-metais-10g" TargetMode="External"/><Relationship Id="rId834" Type="http://schemas.openxmlformats.org/officeDocument/2006/relationships/hyperlink" Target="https://sipac.sig.ufal.br/sipac/visualizaMaterial.do?popup=true&amp;id=32634&amp;acao=12" TargetMode="External"/><Relationship Id="rId1059" Type="http://schemas.openxmlformats.org/officeDocument/2006/relationships/hyperlink" Target="https://www.interjet.com.br/alizarina-sodica-ci-58005-25-g" TargetMode="External"/><Relationship Id="rId228" Type="http://schemas.openxmlformats.org/officeDocument/2006/relationships/hyperlink" Target="https://sipac.sig.ufal.br/sipac/visualizaMaterial.do?popup=true&amp;id=23000&amp;acao=12" TargetMode="External"/><Relationship Id="rId227" Type="http://schemas.openxmlformats.org/officeDocument/2006/relationships/hyperlink" Target="https://www.lojaacscientifica.com.br/albumina-bovina-fracao-v-segcohn-grau-padrao?variation=13088639" TargetMode="External"/><Relationship Id="rId469" Type="http://schemas.openxmlformats.org/officeDocument/2006/relationships/hyperlink" Target="https://www.labimport.com.br/reagentes/cloreto-de-magnesio-6h2o-pa-500g-conc-99-dens-1-57" TargetMode="External"/><Relationship Id="rId226" Type="http://schemas.openxmlformats.org/officeDocument/2006/relationships/hyperlink" Target="https://sipac.sig.ufal.br/sipac/visualizaMaterial.do?popup=true&amp;id=25898&amp;acao=12" TargetMode="External"/><Relationship Id="rId468" Type="http://schemas.openxmlformats.org/officeDocument/2006/relationships/hyperlink" Target="https://sipac.sig.ufal.br/sipac/visualizaMaterial.do?popup=true&amp;id=22768&amp;acao=12" TargetMode="External"/><Relationship Id="rId225" Type="http://schemas.openxmlformats.org/officeDocument/2006/relationships/hyperlink" Target="https://www.orionprodutoscientificos.com.br/alaranjado-de-metila-p-a-acs-25-g-fabricante-neon?utm_source=Site&amp;utm_medium=GoogleMerchant&amp;utm_campaign=GoogleMerchant" TargetMode="External"/><Relationship Id="rId467" Type="http://schemas.openxmlformats.org/officeDocument/2006/relationships/hyperlink" Target="https://www.orionprodutoscientificos.com.br/cloreto-de-litio-anidro-98-pa-250g-exodo-cientifica" TargetMode="External"/><Relationship Id="rId229" Type="http://schemas.openxmlformats.org/officeDocument/2006/relationships/hyperlink" Target="https://www.lojaacscientifica.com.br/alcool-butilico-normal-pa-acs-butanol-1-embalagem-1l" TargetMode="External"/><Relationship Id="rId1050" Type="http://schemas.openxmlformats.org/officeDocument/2006/relationships/hyperlink" Target="https://www.lojaacscientifica.com.br/ureia-carbamida-pa-acs?variation=14181293" TargetMode="External"/><Relationship Id="rId220" Type="http://schemas.openxmlformats.org/officeDocument/2006/relationships/hyperlink" Target="https://labtrade.com.br/produto/agua-ultra-pura-tipo-1/" TargetMode="External"/><Relationship Id="rId462" Type="http://schemas.openxmlformats.org/officeDocument/2006/relationships/hyperlink" Target="https://www.lojalinklab.com.br/cloreto-de-ferro-iii-ico-anidro-pa-500g-sem-controle?parceiro=1142&amp;utm_medium=cpc&amp;utm_source=google&amp;utm_campaign=20614034119&amp;utm_content=__c_&amp;utm_term=&amp;utm_local=20097&amp;utm_device=c&amp;gad_source=4&amp;gclid=CjwKCAjwzN-vBhAkEiwAYiO7oHaWczvGfIenjCQqJTFEiDCsXjmiVBUHswYEDY9P_PmSDu0Z7HcopRoC-igQAvD_BwE" TargetMode="External"/><Relationship Id="rId1051" Type="http://schemas.openxmlformats.org/officeDocument/2006/relationships/hyperlink" Target="https://www.lojasynth.com/reagentes-analiticosmaterias-primas/reagentes-analiticosmaterias-primas/ureia-p-a-a-c-s?variant_id=307994&amp;parceiro=2827&amp;gad_source=4&amp;gclid=CjwKCAiAxaCvBhBaEiwAvsLmWGPcB0d8JAWtC0wV2tvXrZgvCHnKgM8mWk_z0UQoh-W7RLsN2tJi0xoCuIwQAvD_BwE" TargetMode="External"/><Relationship Id="rId461" Type="http://schemas.openxmlformats.org/officeDocument/2006/relationships/hyperlink" Target="https://sipac.sig.ufal.br/sipac/visualizaMaterial.do?popup=true&amp;id=22765&amp;acao=12" TargetMode="External"/><Relationship Id="rId1052" Type="http://schemas.openxmlformats.org/officeDocument/2006/relationships/hyperlink" Target="https://quimisulsc.com.br/produto/ureia-p-a/?srsltid=AfmBOoosFOFuTvDs1YHU64nqXNsHQXvdAQBO13o7h3Jg-4waZktKJ5haFbI" TargetMode="External"/><Relationship Id="rId460" Type="http://schemas.openxmlformats.org/officeDocument/2006/relationships/hyperlink" Target="https://www.lojanetlab.com.br/cloreto-de-estroncio-6h2o-pa-acs-500gr-dinamica" TargetMode="External"/><Relationship Id="rId1053" Type="http://schemas.openxmlformats.org/officeDocument/2006/relationships/hyperlink" Target="https://sipac.sig.ufal.br/sipac/visualizaMaterial.do?popup=true&amp;id=8202&amp;acao=12" TargetMode="External"/><Relationship Id="rId1054" Type="http://schemas.openxmlformats.org/officeDocument/2006/relationships/hyperlink" Target="https://www.orionprodutoscientificos.com.br/verde-bromocresol-pa-5g-exodo-cientifica?utm_source=Site&amp;utm_medium=GoogleMerchant&amp;utm_campaign=GoogleMerchant" TargetMode="External"/><Relationship Id="rId224" Type="http://schemas.openxmlformats.org/officeDocument/2006/relationships/hyperlink" Target="https://www.laderquimica.com.br/alaranjado-de-metila-pa-acs-25g-neon?utm_source=Site&amp;utm_medium=GoogleShopping&amp;utm_campaign=GooglePMax&amp;srsltid=AfmBOopfbOAOCG2v8Hsu8m3S6EbSfqBCIe0xnogqmy7gCcDp8jTQqhoP8fQ" TargetMode="External"/><Relationship Id="rId466" Type="http://schemas.openxmlformats.org/officeDocument/2006/relationships/hyperlink" Target="https://www.orionprodutoscientificos.com.br/cloreto-de-litio-anidro-98-pa-250g-exodo-cientifica" TargetMode="External"/><Relationship Id="rId1055" Type="http://schemas.openxmlformats.org/officeDocument/2006/relationships/hyperlink" Target="https://www.lojaacscientifica.com.br/verde-bromocresol-pa?variation=14181312" TargetMode="External"/><Relationship Id="rId223" Type="http://schemas.openxmlformats.org/officeDocument/2006/relationships/hyperlink" Target="https://www.labimport.com.br/reagentes/alaranjado-de-metila/alaranjado-de-metila-pa-acs-25g-11671" TargetMode="External"/><Relationship Id="rId465" Type="http://schemas.openxmlformats.org/officeDocument/2006/relationships/hyperlink" Target="https://sipac.sig.ufal.br/sipac/visualizaMaterial.do?popup=true&amp;id=25860&amp;acao=12" TargetMode="External"/><Relationship Id="rId1056" Type="http://schemas.openxmlformats.org/officeDocument/2006/relationships/hyperlink" Target="https://www.labimport.com.br/reagentes/verde-bromocresol/verde-bromocresol-pa-5g-12405" TargetMode="External"/><Relationship Id="rId222" Type="http://schemas.openxmlformats.org/officeDocument/2006/relationships/hyperlink" Target="https://sipac.sig.ufal.br/sipac/visualizaMaterial.do?popup=true&amp;id=23371&amp;acao=12" TargetMode="External"/><Relationship Id="rId464" Type="http://schemas.openxmlformats.org/officeDocument/2006/relationships/hyperlink" Target="https://www.orionprodutoscientificos.com.br/cloreto-de-ferro-iii-ico-anidro-pa-500g-exodo-cientifica?utm_source=Site&amp;utm_medium=GoogleMerchant&amp;utm_campaign=GoogleMerchant" TargetMode="External"/><Relationship Id="rId1057" Type="http://schemas.openxmlformats.org/officeDocument/2006/relationships/hyperlink" Target="https://sipac.sig.ufal.br/sipac/visualizaMaterial.do?popup=true&amp;id=28311&amp;acao=12" TargetMode="External"/><Relationship Id="rId221" Type="http://schemas.openxmlformats.org/officeDocument/2006/relationships/hyperlink" Target="https://www.lkpdiagnosticos.com.br/endotoxina/agua-ultrapura-tipo-i-endotoxinas-free-livre-de-contaminacao-filtrada-0-1-micra-500ml?parceiro=3898" TargetMode="External"/><Relationship Id="rId463" Type="http://schemas.openxmlformats.org/officeDocument/2006/relationships/hyperlink" Target="https://www.labimport.com.br/reagentes/cloreto-de-ferro/cloreto-de-ferro-iii-ico-anidro-pa-500g" TargetMode="External"/><Relationship Id="rId1058" Type="http://schemas.openxmlformats.org/officeDocument/2006/relationships/hyperlink" Target="https://www.lojanetlab.com.br/reagentes/pa/alizarina-sodica-ci-58005-vermelho-de-alizarina" TargetMode="External"/><Relationship Id="rId1048" Type="http://schemas.openxmlformats.org/officeDocument/2006/relationships/hyperlink" Target="https://sipac.sig.ufal.br/sipac/visualizaMaterial.do?popup=true&amp;id=33222&amp;acao=12" TargetMode="External"/><Relationship Id="rId1049" Type="http://schemas.openxmlformats.org/officeDocument/2006/relationships/hyperlink" Target="https://sipac.sig.ufal.br/sipac/visualizaMaterial.do?popup=true&amp;id=23492&amp;acao=12" TargetMode="External"/><Relationship Id="rId217" Type="http://schemas.openxmlformats.org/officeDocument/2006/relationships/hyperlink" Target="https://www.laborchemiker.com.br/produto.php?cod_produto=4527814&amp;gad_source=4&amp;gclid=CjwKCAjw17qvBhBrEiwA1rU9w7nyqg8aI84QmpuVXzfiE4uZCA_H1SaOwoCyMJYjsC3h0D3VXPALYhoCZyUQAvD_BwE" TargetMode="External"/><Relationship Id="rId459" Type="http://schemas.openxmlformats.org/officeDocument/2006/relationships/hyperlink" Target="https://www.lojaacscientifica.com.br/cloreto-de-estroncio-6h2o-pa-acs?variation=13088983" TargetMode="External"/><Relationship Id="rId216" Type="http://schemas.openxmlformats.org/officeDocument/2006/relationships/hyperlink" Target="https://www.acsreagentes.com.br/agua-peptona-tamponada.-frasco-500-g?utm_source=Site&amp;utm_medium=GoogleShopping&amp;utm_campaign=GooglePMax&amp;gad_source=4&amp;gclid=CjwKCAjw17qvBhBrEiwA1rU9wy5be74bBdCRxncP3eemT8y-5QyBoOv95ciyT-vTulbuSKdlF4xjbxoCgtoQAvD_BwE" TargetMode="External"/><Relationship Id="rId458" Type="http://schemas.openxmlformats.org/officeDocument/2006/relationships/hyperlink" Target="https://www.labimport.com.br/reagentes/cloreto-de-estroncio/cloreto-de-estroncio-6h2o-pa-acs-250g-15445" TargetMode="External"/><Relationship Id="rId215" Type="http://schemas.openxmlformats.org/officeDocument/2006/relationships/hyperlink" Target="https://sipac.sig.ufal.br/sipac/visualizaMaterial.do?popup=true&amp;id=28225&amp;acao=12" TargetMode="External"/><Relationship Id="rId457" Type="http://schemas.openxmlformats.org/officeDocument/2006/relationships/hyperlink" Target="https://sipac.sig.ufal.br/sipac/visualizaMaterial.do?popup=true&amp;id=22761&amp;acao=12" TargetMode="External"/><Relationship Id="rId699" Type="http://schemas.openxmlformats.org/officeDocument/2006/relationships/hyperlink" Target="https://www.mercadoquimicos.com/reagentes/hidroxido-de-potassio-pa-1kg" TargetMode="External"/><Relationship Id="rId214" Type="http://schemas.openxmlformats.org/officeDocument/2006/relationships/hyperlink" Target="https://www.orionprodutoscientificos.com.br/agarose-padrao-frasco-500-gramas-kasvi?utm_source=Site&amp;utm_medium=GoogleMerchant&amp;utm_campaign=GoogleMerchant" TargetMode="External"/><Relationship Id="rId456" Type="http://schemas.openxmlformats.org/officeDocument/2006/relationships/hyperlink" Target="https://www.lojaacscientifica.com.br/cloreto-de-estanho-ii-oso-2h2o-pa-acs?variation=13088980" TargetMode="External"/><Relationship Id="rId698" Type="http://schemas.openxmlformats.org/officeDocument/2006/relationships/hyperlink" Target="https://www.lojalinklab.com.br/hidroxido-de-potassio-escamas-pa-1kg-controle-pc?parceiro=1142" TargetMode="External"/><Relationship Id="rId219" Type="http://schemas.openxmlformats.org/officeDocument/2006/relationships/hyperlink" Target="https://sipac.sig.ufal.br/sipac/visualizaMaterial.do?popup=true&amp;id=29525&amp;acao=12" TargetMode="External"/><Relationship Id="rId218" Type="http://schemas.openxmlformats.org/officeDocument/2006/relationships/hyperlink" Target="https://www.dsyslab.com.br/reagentes/agua/agua-peptona-tamponada-kasvi?parceiro=7063&amp;srsltid=AfmBOopEHzvHVb0ERu6U92A4AanP4a1oTjk85UOk8aAC4J6h91JHJImojaI" TargetMode="External"/><Relationship Id="rId451" Type="http://schemas.openxmlformats.org/officeDocument/2006/relationships/hyperlink" Target="https://www.orionprodutoscientificos.com.br/cloreto-de-cobalto-ii-oso-6-h2o-pa-acs-100g-exodo-cientifica?utm_source=Site&amp;utm_medium=GoogleMerchant&amp;utm_campaign=GoogleMerchant" TargetMode="External"/><Relationship Id="rId693" Type="http://schemas.openxmlformats.org/officeDocument/2006/relationships/hyperlink" Target="https://www.labimport.com.br/reagentes/hidroxido-de-calcio/hidroxido-de-calcio-pa-500g-12029" TargetMode="External"/><Relationship Id="rId1040" Type="http://schemas.openxmlformats.org/officeDocument/2006/relationships/hyperlink" Target="https://sipac.sig.ufal.br/sipac/visualizaMaterial.do?popup=true&amp;id=28218&amp;acao=12" TargetMode="External"/><Relationship Id="rId450" Type="http://schemas.openxmlformats.org/officeDocument/2006/relationships/hyperlink" Target="https://www.labimport.com.br/reagentes/cloreto-de-cobalto/cloreto-de-cobalto-ii-oso-6h2o-pa-acs-100g" TargetMode="External"/><Relationship Id="rId692" Type="http://schemas.openxmlformats.org/officeDocument/2006/relationships/hyperlink" Target="https://sipac.sig.ufal.br/sipac/visualizaMaterial.do?popup=true&amp;id=23610&amp;acao=12" TargetMode="External"/><Relationship Id="rId1041" Type="http://schemas.openxmlformats.org/officeDocument/2006/relationships/hyperlink" Target="https://www.lojaprolab.com.br/trietilenoglicol-puro-79849" TargetMode="External"/><Relationship Id="rId691" Type="http://schemas.openxmlformats.org/officeDocument/2006/relationships/hyperlink" Target="https://www.forlabexpress.com.br/hidroxido-de-amonio-24-26-pa-acs-1l-acs-cientifica/?srsltid=AfmBOooTLu5OpcltDdVRLev-e50x_bfED-aWx4iAmJKzZ0kepPEN1ELanko" TargetMode="External"/><Relationship Id="rId1042" Type="http://schemas.openxmlformats.org/officeDocument/2006/relationships/hyperlink" Target="https://www.orionprodutoscientificos.com.br/trietilenoglicol-puro-1-litro-exodo-cientifica" TargetMode="External"/><Relationship Id="rId690" Type="http://schemas.openxmlformats.org/officeDocument/2006/relationships/hyperlink" Target="https://www.orionprodutoscientificos.com.br/hidroxido-de-amonio-2n-fatorada-1l-exodo-cientifica" TargetMode="External"/><Relationship Id="rId1043" Type="http://schemas.openxmlformats.org/officeDocument/2006/relationships/hyperlink" Target="https://www.lojaerdobrasil.com.br/fraction-x/trietilenoglicol-1l-garrafa-quimio?parceiro=1659" TargetMode="External"/><Relationship Id="rId213" Type="http://schemas.openxmlformats.org/officeDocument/2006/relationships/hyperlink" Target="https://www.labimport.com.br/reagentes/agarose-padrao-500-g" TargetMode="External"/><Relationship Id="rId455" Type="http://schemas.openxmlformats.org/officeDocument/2006/relationships/hyperlink" Target="https://www.lojalinklab.com.br/cloreto-de-estanho-ii-oso-2h2o-pa-250g-sem-controle?parceiro=1142" TargetMode="External"/><Relationship Id="rId697" Type="http://schemas.openxmlformats.org/officeDocument/2006/relationships/hyperlink" Target="https://www.labimport.com.br/reagentes/hidroxido-de-potassio/hidroxido-de-potassio-escamas-pa-1kg" TargetMode="External"/><Relationship Id="rId1044" Type="http://schemas.openxmlformats.org/officeDocument/2006/relationships/hyperlink" Target="https://sipac.sig.ufal.br/sipac/visualizaMaterial.do?popup=true&amp;id=25735&amp;acao=12" TargetMode="External"/><Relationship Id="rId212" Type="http://schemas.openxmlformats.org/officeDocument/2006/relationships/hyperlink" Target="https://labtrade.com.br/carrinho/" TargetMode="External"/><Relationship Id="rId454" Type="http://schemas.openxmlformats.org/officeDocument/2006/relationships/hyperlink" Target="https://www.orionprodutoscientificos.com.br/cloreto-de-estanho-ii-oso-2h2o-pa-acs-250g-exodo-cientifica?utm_source=Site&amp;utm_medium=GoogleMerchant&amp;utm_campaign=GoogleMerchant" TargetMode="External"/><Relationship Id="rId696" Type="http://schemas.openxmlformats.org/officeDocument/2006/relationships/hyperlink" Target="https://sipac.sig.ufal.br/sipac/visualizaMaterial.do?popup=true&amp;id=23614&amp;acao=12" TargetMode="External"/><Relationship Id="rId1045" Type="http://schemas.openxmlformats.org/officeDocument/2006/relationships/hyperlink" Target="https://www.orionprodutoscientificos.com.br/cloreto-de-235-trifenil-tetrazolio-10-g-fabricante-neon" TargetMode="External"/><Relationship Id="rId211" Type="http://schemas.openxmlformats.org/officeDocument/2006/relationships/hyperlink" Target="https://sipac.sig.ufal.br/sipac/visualizaMaterial.do?popup=true&amp;id=31091&amp;acao=12" TargetMode="External"/><Relationship Id="rId453" Type="http://schemas.openxmlformats.org/officeDocument/2006/relationships/hyperlink" Target="https://sipac.sig.ufal.br/sipac/visualizaMaterial.do?popup=true&amp;id=22760&amp;acao=12" TargetMode="External"/><Relationship Id="rId695" Type="http://schemas.openxmlformats.org/officeDocument/2006/relationships/hyperlink" Target="https://www.labimport.com.br/reagentes/hidroxido-de-calcio/hidroxido-de-calcio-pa-acs-500g" TargetMode="External"/><Relationship Id="rId1046" Type="http://schemas.openxmlformats.org/officeDocument/2006/relationships/hyperlink" Target="https://www.lojalinklab.com.br/cloreto-de-trifeniltetrazolio-2-3-5-10g-sem-controle?parceiro=1142" TargetMode="External"/><Relationship Id="rId210" Type="http://schemas.openxmlformats.org/officeDocument/2006/relationships/hyperlink" Target="https://www.lkpdiagnosticos.com.br/meios-de-cultura/agar-verde-brilhante-500g?parceiro=3898&amp;gad_source=4&amp;gclid=Cj0KCQiArrCvBhCNARIsAOkAGcVouUWb1x446LRhXw3k45_ZeTo7EiKjn__Gr542vnrB5UCKt0YUjlYaApRZEALw_wcB" TargetMode="External"/><Relationship Id="rId452" Type="http://schemas.openxmlformats.org/officeDocument/2006/relationships/hyperlink" Target="https://www.lojaacscientifica.com.br/cloreto-de-cobalto-ii-oso-6-h2o-pa-acs?variation=13088963" TargetMode="External"/><Relationship Id="rId694" Type="http://schemas.openxmlformats.org/officeDocument/2006/relationships/hyperlink" Target="https://www.orionprodutoscientificos.com.br/hidroxido-de-calcio-p-a-500-g-fabricante-neon?utm_source=Site&amp;utm_medium=GoogleMerchant&amp;utm_campaign=GoogleMerchant" TargetMode="External"/><Relationship Id="rId1047" Type="http://schemas.openxmlformats.org/officeDocument/2006/relationships/hyperlink" Target="https://www.labimport.com.br/reagentes/cloreto-de-trifenil-tetrazolio/cloreto-de-2-3-5-trifenil-tetrazolio-10g" TargetMode="External"/><Relationship Id="rId491" Type="http://schemas.openxmlformats.org/officeDocument/2006/relationships/hyperlink" Target="https://www.labimport.com.br/reagentes/cloreto-de-sodio/cloreto-de-sodio-pa-1000g" TargetMode="External"/><Relationship Id="rId490" Type="http://schemas.openxmlformats.org/officeDocument/2006/relationships/hyperlink" Target="https://www.laderquimica.com.br/cloreto-de-sodio-pa-1-kg-dinamica?utm_source=Site&amp;utm_medium=GoogleShopping&amp;utm_campaign=GooglePMax&amp;srsltid=AfmBOopH2icAFAsg7GuOuxi0Jpxs3P5_vWgBgSXYEZD9VGMyqeLc_oCwQQU" TargetMode="External"/><Relationship Id="rId249" Type="http://schemas.openxmlformats.org/officeDocument/2006/relationships/hyperlink" Target="https://www.lojalinklab.com.br/alcool-propilico-normal-hplc-1l-controle-pc?parceiro=1142" TargetMode="External"/><Relationship Id="rId248" Type="http://schemas.openxmlformats.org/officeDocument/2006/relationships/hyperlink" Target="https://www.labimport.com.br/reagentes/alcool-propilico/alcool-propilico-iso-uvhplc-plus-1-l" TargetMode="External"/><Relationship Id="rId247" Type="http://schemas.openxmlformats.org/officeDocument/2006/relationships/hyperlink" Target="https://sipac.sig.ufal.br/sipac/visualizaMaterial.do?popup=true&amp;id=23277&amp;acao=12" TargetMode="External"/><Relationship Id="rId489" Type="http://schemas.openxmlformats.org/officeDocument/2006/relationships/hyperlink" Target="https://www.labimport.com.br/reagentes/cloreto-de-sodio/cloreto-de-sodio-pa-acs-1000g" TargetMode="External"/><Relationship Id="rId1070" Type="http://schemas.openxmlformats.org/officeDocument/2006/relationships/hyperlink" Target="https://quimisulsc.com.br/produto/xilol-p-a/?srsltid=AfmBOorR-3b0-RPew6u4c3l2UIjBPjk8ri6em_01g14o5-73TC5n8T53TqU" TargetMode="External"/><Relationship Id="rId1071" Type="http://schemas.openxmlformats.org/officeDocument/2006/relationships/hyperlink" Target="https://sipac.sig.ufal.br/sipac/visualizaMaterial.do?popup=true&amp;id=23266&amp;acao=12" TargetMode="External"/><Relationship Id="rId1072" Type="http://schemas.openxmlformats.org/officeDocument/2006/relationships/hyperlink" Target="https://www.orionprodutoscientificos.com.br/zinco-granulado-20-mesh-p-a-500-g-fabricante-neon?utm_source=Site&amp;utm_medium=GoogleMerchant&amp;utm_campaign=GoogleMerchant" TargetMode="External"/><Relationship Id="rId242" Type="http://schemas.openxmlformats.org/officeDocument/2006/relationships/hyperlink" Target="https://www.labimport.com.br/reagentes/alcool-propilico/alcool-propilico-iso-uvhplc-plus-1-l" TargetMode="External"/><Relationship Id="rId484" Type="http://schemas.openxmlformats.org/officeDocument/2006/relationships/hyperlink" Target="https://sipac.sig.ufal.br/sipac/visualizaMaterial.do?popup=true&amp;id=13067&amp;acao=12" TargetMode="External"/><Relationship Id="rId1073" Type="http://schemas.openxmlformats.org/officeDocument/2006/relationships/hyperlink" Target="https://www.lojaacscientifica.com.br/zinco-granulado-20-mesh-999-pa?variation=14181684" TargetMode="External"/><Relationship Id="rId241" Type="http://schemas.openxmlformats.org/officeDocument/2006/relationships/hyperlink" Target="https://www.labimport.com.br/reagentes/alcool-etilico/alcool-etilico-absoluto-hplc-99-8-1-l-13979" TargetMode="External"/><Relationship Id="rId483" Type="http://schemas.openxmlformats.org/officeDocument/2006/relationships/hyperlink" Target="https://www.laderquimica.com.br/cloreto-potassio-pa-acs-1000g?utm_source=Site&amp;utm_medium=GoogleMerchant&amp;utm_campaign=GoogleMerchant&amp;srsltid=AfmBOoqqAaxjm0KldXLctEtQAGpKdndy8I_56idZLCBkbc2wO4IPSEQMSqg" TargetMode="External"/><Relationship Id="rId1074" Type="http://schemas.openxmlformats.org/officeDocument/2006/relationships/hyperlink" Target="https://www.labimport.com.br/reagentes/zinco/zinco-granulado-20-mesh-pa-500g-12425" TargetMode="External"/><Relationship Id="rId240" Type="http://schemas.openxmlformats.org/officeDocument/2006/relationships/hyperlink" Target="https://www.lojalinklab.com.br/alcool-etilico-abs-hplc-plus-99-8-1l-controle-pc?parceiro=1142" TargetMode="External"/><Relationship Id="rId482" Type="http://schemas.openxmlformats.org/officeDocument/2006/relationships/hyperlink" Target="https://www.lojalinklab.com.br/cloreto-de-potassio-pa-500g-sem-controle?parceiro=1142" TargetMode="External"/><Relationship Id="rId1075" Type="http://schemas.openxmlformats.org/officeDocument/2006/relationships/hyperlink" Target="https://sipac.sig.ufal.br/sipac/visualizaMaterial.do?popup=true&amp;id=30414&amp;acao=12" TargetMode="External"/><Relationship Id="rId481" Type="http://schemas.openxmlformats.org/officeDocument/2006/relationships/hyperlink" Target="https://www.labimport.com.br/reagentes/cloreto-de-potassio/cloreto-de-potassio-p-a-500g" TargetMode="External"/><Relationship Id="rId1076" Type="http://schemas.openxmlformats.org/officeDocument/2006/relationships/hyperlink" Target="https://www.sigmaaldrich.com/BR/pt/substance/azocasein12345102110747" TargetMode="External"/><Relationship Id="rId246" Type="http://schemas.openxmlformats.org/officeDocument/2006/relationships/hyperlink" Target="https://www.google.com/search?q=ALCOOL+ISOPROPILICO+P.A.&amp;client=firefox-b-lm&amp;sca_esv=1114ab6409594670&amp;tbm=shop&amp;sxsrf=ACQVn08zd8Ul5mj10IXGUmsFXCVT5V4zDg%3A1710249356158&amp;ei=jFXwZb_xCL_P1sQPl_SIsAs&amp;udm=&amp;ved=0ahUKEwi_5-aq5-6EAxW_p5UCHRc6ArYQ4dUDCAg&amp;uact=5&amp;oq=ALCOOL+ISOPROPILICO+P.A.&amp;gs_lp=Egtwcm9kdWN0cy1jYyIYQUxDT09MIElTT1BST1BJTElDTyBQLkEuSJUVUJMCWJMQcAB4AJABAJgBxwGgAYEEqgEDMC4zuAEDyAEA-AEC-AEBmAIAoAIAmAMAiAYBkgcAoAeCAg&amp;sclient=products-cc" TargetMode="External"/><Relationship Id="rId488" Type="http://schemas.openxmlformats.org/officeDocument/2006/relationships/hyperlink" Target="https://sipac.sig.ufal.br/sipac/visualizaMaterial.do?popup=true&amp;id=22780&amp;acao=12" TargetMode="External"/><Relationship Id="rId1077" Type="http://schemas.openxmlformats.org/officeDocument/2006/relationships/hyperlink" Target="https://sipac.sig.ufal.br/sipac/visualizaMaterial.do?popup=true&amp;id=30405&amp;acao=12" TargetMode="External"/><Relationship Id="rId245" Type="http://schemas.openxmlformats.org/officeDocument/2006/relationships/hyperlink" Target="https://www.orionprodutoscientificos.com.br/alcool-propilico-iso-pa-acs-2-propanol-1l-fabricante-exodo-cientifica?utm_source=Site&amp;utm_medium=GoogleMerchant&amp;utm_campaign=GoogleMerchant&amp;gad_source=4&amp;gclid=Cj0KCQjw-r-vBhC-ARIsAGgUO2A1L_u6_t7Jd-RtU6p1ZdIZ1hYaZ5ybs0BKInegbMMWmTGlWs067RQaAlg6EALw_wcB" TargetMode="External"/><Relationship Id="rId487" Type="http://schemas.openxmlformats.org/officeDocument/2006/relationships/hyperlink" Target="https://www.lojasynth.com/reagentes-analiticosmaterias-primas/reagentes-analiticosmaterias-primas/cloreto-de-prata-p-a?parceiro=2827&amp;variant_id=301285&amp;srsltid=AfmBOopbCZRouSk2ofyUS5MclGqtOmZr6Ka87FLJNXyVOXWGe3KtB2jVyF4" TargetMode="External"/><Relationship Id="rId1078" Type="http://schemas.openxmlformats.org/officeDocument/2006/relationships/hyperlink" Target="https://sipac.sig.ufal.br/sipac/visualizaMaterial.do?popup=true&amp;id=24587&amp;acao=12" TargetMode="External"/><Relationship Id="rId244" Type="http://schemas.openxmlformats.org/officeDocument/2006/relationships/hyperlink" Target="https://www.eplab.com.br/laboratorio/consumiveis/reagente/alcool-iso-propilico-pa-acs-780g-2-propanol-isopropanol-1-lt-dinamica?gad_source=4&amp;gclid=Cj0KCQjw-r-vBhC-ARIsAGgUO2C-95v_JBYY9_ch1b7-qhtCS0I-pA4ZJqXSOXNtNxGST0zYbI3VLH4aAm6yEALw_wcB" TargetMode="External"/><Relationship Id="rId486" Type="http://schemas.openxmlformats.org/officeDocument/2006/relationships/hyperlink" Target="https://www.lojaacscientifica.com.br/cloreto-de-prata-pa-embalagem-25g" TargetMode="External"/><Relationship Id="rId1079" Type="http://schemas.openxmlformats.org/officeDocument/2006/relationships/hyperlink" Target="https://produto.mercadolivre.com.br/MLB-1294269307-espuma-de-poliuretano-expandido-kit-c-2kg-a-b-retafoam-_JM?matt_tool=18956390&amp;utm_source=google_shopping&amp;utm_medium=organic" TargetMode="External"/><Relationship Id="rId243" Type="http://schemas.openxmlformats.org/officeDocument/2006/relationships/hyperlink" Target="https://sipac.sig.ufal.br/sipac/visualizaMaterial.do?popup=true&amp;id=30787&amp;acao=12" TargetMode="External"/><Relationship Id="rId485" Type="http://schemas.openxmlformats.org/officeDocument/2006/relationships/hyperlink" Target="https://www.labimport.com.br/reagentes/cloreto-de-prata/cloreto-de-prata-pa-25g" TargetMode="External"/><Relationship Id="rId480" Type="http://schemas.openxmlformats.org/officeDocument/2006/relationships/hyperlink" Target="https://sipac.sig.ufal.br/sipac/visualizaMaterial.do?popup=true&amp;id=22775&amp;acao=12" TargetMode="External"/><Relationship Id="rId239" Type="http://schemas.openxmlformats.org/officeDocument/2006/relationships/hyperlink" Target="https://sipac.sig.ufal.br/sipac/visualizaMaterial.do?popup=true&amp;id=32612&amp;acao=12" TargetMode="External"/><Relationship Id="rId238" Type="http://schemas.openxmlformats.org/officeDocument/2006/relationships/hyperlink" Target="https://www.quanticaw.com.br/alcool-96-1litro-p67" TargetMode="External"/><Relationship Id="rId237" Type="http://schemas.openxmlformats.org/officeDocument/2006/relationships/hyperlink" Target="https://www.lojaacscientifica.com.br/alcool-etilico-96-pa?variation=14182306" TargetMode="External"/><Relationship Id="rId479" Type="http://schemas.openxmlformats.org/officeDocument/2006/relationships/hyperlink" Target="https://www.orionprodutoscientificos.com.br/cloreto-de-mercurio-i-oso-pa-100g-exodo-cientifica?utm_source=Site&amp;utm_medium=GoogleMerchant&amp;utm_campaign=GoogleMerchant" TargetMode="External"/><Relationship Id="rId236" Type="http://schemas.openxmlformats.org/officeDocument/2006/relationships/hyperlink" Target="https://www.labimport.com.br/reagentes/alcool-etilico/alcool-etilico-96-p-a-frasco-plastico-de-1-litro" TargetMode="External"/><Relationship Id="rId478" Type="http://schemas.openxmlformats.org/officeDocument/2006/relationships/hyperlink" Target="https://www.lojaacscientifica.com.br/cloreto-de-mercurio-i-oso-pa-acs-calomelano?variation=13089005" TargetMode="External"/><Relationship Id="rId1060" Type="http://schemas.openxmlformats.org/officeDocument/2006/relationships/hyperlink" Target="https://www.orionprodutoscientificos.com.br/alizarina-sodica-c-i-58005-25-g-fabricante-neon" TargetMode="External"/><Relationship Id="rId1061" Type="http://schemas.openxmlformats.org/officeDocument/2006/relationships/hyperlink" Target="https://sipac.sig.ufal.br/sipac/visualizaMaterial.do?popup=true&amp;id=24837&amp;acao=12" TargetMode="External"/><Relationship Id="rId231" Type="http://schemas.openxmlformats.org/officeDocument/2006/relationships/hyperlink" Target="https://sipac.sig.ufal.br/sipac/visualizaMaterial.do?popup=true&amp;id=2081&amp;acao=12" TargetMode="External"/><Relationship Id="rId473" Type="http://schemas.openxmlformats.org/officeDocument/2006/relationships/hyperlink" Target="https://www.orionprodutoscientificos.com.br/cloreto-de-manganes-oso-4h2o-pa-acs-500g-exodo-cientifica?utm_source=Site&amp;utm_medium=GoogleMerchant&amp;utm_campaign=GoogleMerchant" TargetMode="External"/><Relationship Id="rId1062" Type="http://schemas.openxmlformats.org/officeDocument/2006/relationships/hyperlink" Target="https://www.labimport.com.br/reagentes/vermelho-de-metila/vermelho-de-metila-pa-acs-25g-15095" TargetMode="External"/><Relationship Id="rId230" Type="http://schemas.openxmlformats.org/officeDocument/2006/relationships/hyperlink" Target="https://labshow.com.br/loja/Labshow/produto/1171/alcool-butilico-normal-pa-acs-810g-1-butanol-dinamica" TargetMode="External"/><Relationship Id="rId472" Type="http://schemas.openxmlformats.org/officeDocument/2006/relationships/hyperlink" Target="https://sipac.sig.ufal.br/sipac/visualizaMaterial.do?popup=true&amp;id=24778&amp;acao=12" TargetMode="External"/><Relationship Id="rId1063" Type="http://schemas.openxmlformats.org/officeDocument/2006/relationships/hyperlink" Target="https://www.lojanetlab.com.br/reagentes/pa/vermelho-de-metila-pa-acs-ci-13020-25g" TargetMode="External"/><Relationship Id="rId471" Type="http://schemas.openxmlformats.org/officeDocument/2006/relationships/hyperlink" Target="https://www.orionprodutoscientificos.com.br/cloreto-de-magnesio-hexahidratado-p-a-500-g-fabricante-neon?utm_source=Site&amp;utm_medium=GoogleMerchant&amp;utm_campaign=GoogleMerchant" TargetMode="External"/><Relationship Id="rId1064" Type="http://schemas.openxmlformats.org/officeDocument/2006/relationships/hyperlink" Target="https://www.forlabexpress.com.br/vermelho-de-metila-pa-ci-13020-25g-acs-cientifica/" TargetMode="External"/><Relationship Id="rId470" Type="http://schemas.openxmlformats.org/officeDocument/2006/relationships/hyperlink" Target="https://www.orionprodutoscientificos.com.br/cloreto-de-magnesio-6h2o-pa-500g-500g-exodo-cientifica?utm_source=Site&amp;utm_medium=GoogleMerchant&amp;utm_campaign=GoogleMerchant" TargetMode="External"/><Relationship Id="rId1065" Type="http://schemas.openxmlformats.org/officeDocument/2006/relationships/hyperlink" Target="https://sipac.sig.ufal.br/sipac/visualizaMaterial.do?popup=true&amp;id=33290&amp;acao=12" TargetMode="External"/><Relationship Id="rId235" Type="http://schemas.openxmlformats.org/officeDocument/2006/relationships/hyperlink" Target="https://sipac.sig.ufal.br/sipac/visualizaMaterial.do?popup=true&amp;id=23097&amp;acao=12" TargetMode="External"/><Relationship Id="rId477" Type="http://schemas.openxmlformats.org/officeDocument/2006/relationships/hyperlink" Target="https://www.lojalinklab.com.br/cloreto-de-mercurio-i-oso-pa-100g-controle-pc?parceiro=1142" TargetMode="External"/><Relationship Id="rId1066" Type="http://schemas.openxmlformats.org/officeDocument/2006/relationships/hyperlink" Target="https://www.lojanetlab.com.br/reagentes/pa/alizarina-sodica-ci-58005-vermelho-de-alizarina" TargetMode="External"/><Relationship Id="rId234" Type="http://schemas.openxmlformats.org/officeDocument/2006/relationships/hyperlink" Target="https://www.lojaacscientifica.com.br/alcool-etilico-absoluto-998-pa-acs-frasco-de-vidro-embalagem-1l" TargetMode="External"/><Relationship Id="rId476" Type="http://schemas.openxmlformats.org/officeDocument/2006/relationships/hyperlink" Target="https://sipac.sig.ufal.br/sipac/visualizaMaterial.do?popup=true&amp;id=32537&amp;acao=12" TargetMode="External"/><Relationship Id="rId1067" Type="http://schemas.openxmlformats.org/officeDocument/2006/relationships/hyperlink" Target="https://sipac.sig.ufal.br/sipac/visualizaMaterial.do?popup=true&amp;id=23269&amp;acao=12" TargetMode="External"/><Relationship Id="rId233" Type="http://schemas.openxmlformats.org/officeDocument/2006/relationships/hyperlink" Target="https://bioprecisa.com.br/produto/alcool-etilico-absoluto/" TargetMode="External"/><Relationship Id="rId475" Type="http://schemas.openxmlformats.org/officeDocument/2006/relationships/hyperlink" Target="https://www.orionprodutoscientificos.com.br/cloreto-de-manganes-oso-4h2o-500g-exodo-cientifica?utm_source=Site&amp;utm_medium=GoogleMerchant&amp;utm_campaign=GoogleMerchant" TargetMode="External"/><Relationship Id="rId1068" Type="http://schemas.openxmlformats.org/officeDocument/2006/relationships/hyperlink" Target="https://www.orionprodutoscientificos.com.br/xilol-especial-p-histologia-1l-exodo-cientifica?utm_source=Site&amp;utm_medium=GoogleMerchant&amp;utm_campaign=GoogleMerchant&amp;gad_source=4&amp;gclid=CjwKCAiAxaCvBhBaEiwAvsLmWIHUoLa0m-FzIwdZ5lEhApsbsDew7BQcc9_RWtW7k_-DIFQjrdXYIBoCICcQAvD_BwE" TargetMode="External"/><Relationship Id="rId232" Type="http://schemas.openxmlformats.org/officeDocument/2006/relationships/hyperlink" Target="https://myhexis.com.br/index.php?option=com_movimentacao&amp;op=PROD&amp;task=detalhar&amp;produto_id=HX0179-00005" TargetMode="External"/><Relationship Id="rId474" Type="http://schemas.openxmlformats.org/officeDocument/2006/relationships/hyperlink" Target="https://www.lojalinklab.com.br/cloreto-de-manganes-oso-4h2o-pa-1kg-sem-controle?parceiro=1142" TargetMode="External"/><Relationship Id="rId1069" Type="http://schemas.openxmlformats.org/officeDocument/2006/relationships/hyperlink" Target="https://www.lojaacscientifica.com.br/xilol-pa-acs?variation=14183548" TargetMode="External"/><Relationship Id="rId1015" Type="http://schemas.openxmlformats.org/officeDocument/2006/relationships/hyperlink" Target="https://www.orionprodutoscientificos.com.br/tetraborato-de-sodio-10h2o-pa-borax-500g-exodo-cientifica?utm_source=Site&amp;utm_medium=GoogleMerchant&amp;utm_campaign=GoogleMerchant" TargetMode="External"/><Relationship Id="rId1016" Type="http://schemas.openxmlformats.org/officeDocument/2006/relationships/hyperlink" Target="https://sipac.sig.ufal.br/sipac/visualizaMaterial.do?popup=true&amp;id=23679&amp;acao=12" TargetMode="External"/><Relationship Id="rId1017" Type="http://schemas.openxmlformats.org/officeDocument/2006/relationships/hyperlink" Target="https://www.labimport.com.br/reagentes/solucoes/solucao-tcc-1000ml-tetracloreto-de-carbono" TargetMode="External"/><Relationship Id="rId1018" Type="http://schemas.openxmlformats.org/officeDocument/2006/relationships/hyperlink" Target="https://sipac.sig.ufal.br/sipac/visualizaMaterial.do?popup=true&amp;id=24903&amp;acao=12" TargetMode="External"/><Relationship Id="rId1019" Type="http://schemas.openxmlformats.org/officeDocument/2006/relationships/hyperlink" Target="https://www.lojaacscientifica.com.br/timol-puro-embalagem-100g" TargetMode="External"/><Relationship Id="rId426" Type="http://schemas.openxmlformats.org/officeDocument/2006/relationships/hyperlink" Target="https://www.laderquimica.com.br/cloreto-de-aluminio-6h2o-pa-500g-dinamica?utm_source=Site&amp;utm_medium=GoogleMerchant&amp;utm_campaign=GoogleMerchant&amp;srsltid=AfmBOookgL-upzvUegUDIW0ZRPDO4myiqtHuer_EYH-JGV_Rmm0cIbpt64k" TargetMode="External"/><Relationship Id="rId668" Type="http://schemas.openxmlformats.org/officeDocument/2006/relationships/hyperlink" Target="https://www.orionprodutoscientificos.com.br/hematoxilina-ci-75290-25g-exodo-cientifica" TargetMode="External"/><Relationship Id="rId425" Type="http://schemas.openxmlformats.org/officeDocument/2006/relationships/hyperlink" Target="https://www.labimport.com.br/reagentes/cloreto-de-aluminio/cloreto-de-aluminio-6h2o-pa-500g-11803" TargetMode="External"/><Relationship Id="rId667" Type="http://schemas.openxmlformats.org/officeDocument/2006/relationships/hyperlink" Target="https://www.lojaacscientifica.com.br/hematoxilina-ci75290" TargetMode="External"/><Relationship Id="rId424" Type="http://schemas.openxmlformats.org/officeDocument/2006/relationships/hyperlink" Target="https://sipac.sig.ufal.br/sipac/visualizaMaterial.do?popup=true&amp;id=22744&amp;acao=12" TargetMode="External"/><Relationship Id="rId666" Type="http://schemas.openxmlformats.org/officeDocument/2006/relationships/hyperlink" Target="https://www.labimport.com.br/reagentes/hematoxilina/hematoxilina-pa-25g" TargetMode="External"/><Relationship Id="rId423" Type="http://schemas.openxmlformats.org/officeDocument/2006/relationships/hyperlink" Target="https://www.orionprodutoscientificos.com.br/cloranfenicol-levogiro-pa-25g-exodo-cientifica" TargetMode="External"/><Relationship Id="rId665" Type="http://schemas.openxmlformats.org/officeDocument/2006/relationships/hyperlink" Target="https://sipac.sig.ufal.br/sipac/visualizaMaterial.do?popup=true&amp;id=23360&amp;acao=12" TargetMode="External"/><Relationship Id="rId429" Type="http://schemas.openxmlformats.org/officeDocument/2006/relationships/hyperlink" Target="https://www.lojalinklab.com.br/cloreto-de-amonio-pa-500g-controle-pc-e-pf?parceiro=1142" TargetMode="External"/><Relationship Id="rId428" Type="http://schemas.openxmlformats.org/officeDocument/2006/relationships/hyperlink" Target="https://sipac.sig.ufal.br/sipac/visualizaMaterial.do?popup=true&amp;id=31255&amp;acao=12" TargetMode="External"/><Relationship Id="rId427" Type="http://schemas.openxmlformats.org/officeDocument/2006/relationships/hyperlink" Target="https://www.orionprodutoscientificos.com.br/cloreto-de-aluminio-6h2o-pa-500g-exodo-cientifica" TargetMode="External"/><Relationship Id="rId669" Type="http://schemas.openxmlformats.org/officeDocument/2006/relationships/hyperlink" Target="https://sipac.sig.ufal.br/sipac/visualizaMaterial.do?popup=true&amp;id=28267&amp;acao=12" TargetMode="External"/><Relationship Id="rId660" Type="http://schemas.openxmlformats.org/officeDocument/2006/relationships/hyperlink" Target="https://www.lojalinklab.com.br/glicerina-pa-acs-1l-controle-pc?parceiro=1142" TargetMode="External"/><Relationship Id="rId1010" Type="http://schemas.openxmlformats.org/officeDocument/2006/relationships/hyperlink" Target="https://www.lojaacscientifica.com.br/tartarato-de-sodio-e-potassio-4h2o-pa-acs" TargetMode="External"/><Relationship Id="rId422" Type="http://schemas.openxmlformats.org/officeDocument/2006/relationships/hyperlink" Target="https://www.lojaacscientifica.com.br/cloranfenicol-levogiro-pa-embalagem-25g" TargetMode="External"/><Relationship Id="rId664" Type="http://schemas.openxmlformats.org/officeDocument/2006/relationships/hyperlink" Target="https://www.lojalinklab.com.br/dextrose-glicose-anidra-pa-500g-sem-controle?parceiro=1142" TargetMode="External"/><Relationship Id="rId1011" Type="http://schemas.openxmlformats.org/officeDocument/2006/relationships/hyperlink" Target="https://www.orionprodutoscientificos.com.br/tartarato-de-sodio-e-potassio-4h2o-pa-acs-500g-exodo-cientifica?utm_source=Site&amp;utm_medium=GoogleMerchant&amp;utm_campaign=GoogleMerchant" TargetMode="External"/><Relationship Id="rId421" Type="http://schemas.openxmlformats.org/officeDocument/2006/relationships/hyperlink" Target="https://sipac.sig.ufal.br/sipac/visualizaMaterial.do?popup=true&amp;id=32536&amp;acao=12" TargetMode="External"/><Relationship Id="rId663" Type="http://schemas.openxmlformats.org/officeDocument/2006/relationships/hyperlink" Target="https://www.labimport.com.br/reagentes/glicose/glicose-d-anidra-pa-acs-500g" TargetMode="External"/><Relationship Id="rId1012" Type="http://schemas.openxmlformats.org/officeDocument/2006/relationships/hyperlink" Target="https://sipac.sig.ufal.br/sipac/visualizaMaterial.do?popup=true&amp;id=23671&amp;acao=12" TargetMode="External"/><Relationship Id="rId420" Type="http://schemas.openxmlformats.org/officeDocument/2006/relationships/hyperlink" Target="https://www.lojalinklab.com.br/celobiose-d-celobiose-purex-25g-sem-controle" TargetMode="External"/><Relationship Id="rId662" Type="http://schemas.openxmlformats.org/officeDocument/2006/relationships/hyperlink" Target="https://www.labimport.com.br/reagentes/glicose/glicose-anidra-dextrose-pa-acs-500g-12003" TargetMode="External"/><Relationship Id="rId1013" Type="http://schemas.openxmlformats.org/officeDocument/2006/relationships/hyperlink" Target="https://www.labimport.com.br/reagentes/tiossulfato-de-sodio/tetraborato-de-sodio-10h2o-pa-borax-500g" TargetMode="External"/><Relationship Id="rId661" Type="http://schemas.openxmlformats.org/officeDocument/2006/relationships/hyperlink" Target="https://sipac.sig.ufal.br/sipac/visualizaMaterial.do?popup=true&amp;id=23412&amp;acao=12" TargetMode="External"/><Relationship Id="rId1014" Type="http://schemas.openxmlformats.org/officeDocument/2006/relationships/hyperlink" Target="https://www.laderquimica.com.br/ph0jpkqq4-tetraborato-de-sodio-10h2o-pa-500gdinamica?utm_source=Site&amp;utm_medium=GoogleMerchant&amp;utm_campaign=GoogleMerchant&amp;srsltid=AfmBOoo6B_CituSRozu5VjR-8AHlnivp1vXDmsX8aIL8PUoBn7akSJx75Eg" TargetMode="External"/><Relationship Id="rId1004" Type="http://schemas.openxmlformats.org/officeDocument/2006/relationships/hyperlink" Target="https://www.lojaacscientifica.com.br/sulfito-de-sodio-anidro-pa" TargetMode="External"/><Relationship Id="rId1005" Type="http://schemas.openxmlformats.org/officeDocument/2006/relationships/hyperlink" Target="https://www.orionprodutoscientificos.com.br/sulfito-de-sodio-anidro-pa-500g-exodo-cientifica?utm_source=Site&amp;utm_medium=GoogleMerchant&amp;utm_campaign=GoogleMerchant" TargetMode="External"/><Relationship Id="rId1006" Type="http://schemas.openxmlformats.org/officeDocument/2006/relationships/hyperlink" Target="https://sipac.sig.ufal.br/sipac/visualizaMaterial.do?popup=true&amp;id=33224&amp;acao=12" TargetMode="External"/><Relationship Id="rId1007" Type="http://schemas.openxmlformats.org/officeDocument/2006/relationships/hyperlink" Target="https://sipac.sig.ufal.br/sipac/visualizaMaterial.do?popup=true&amp;id=33225&amp;acao=12" TargetMode="External"/><Relationship Id="rId1008" Type="http://schemas.openxmlformats.org/officeDocument/2006/relationships/hyperlink" Target="https://sipac.sig.ufal.br/sipac/visualizaMaterial.do?popup=true&amp;id=23677&amp;acao=12" TargetMode="External"/><Relationship Id="rId1009" Type="http://schemas.openxmlformats.org/officeDocument/2006/relationships/hyperlink" Target="https://www.lojasynth.com/reagentes-analiticosmaterias-primas/reagentes-analiticosmaterias-primas/tartarato-de-sodio-e-potassio-4h2o-p-a?variant_id=301574&amp;parceiro=2827&amp;gad_source=4&amp;gclid=CjwKCAiAxaCvBhBaEiwAvsLmWGq80SLfTkhfeUrl2RnrOZLxm1qWzcto65bn_EFDkiSbYZuNS5SH6RoCTzMQAvD_BwE" TargetMode="External"/><Relationship Id="rId415" Type="http://schemas.openxmlformats.org/officeDocument/2006/relationships/hyperlink" Target="https://www.lojasynth.com/reagentes-analiticosmaterias-primas/reagentes-analiticosmaterias-primas/caseina-pura?parceiro=2827&amp;variant_id=301493&amp;srsltid=AfmBOoojbR81tsZEoVozfrN96zwn9tzVmadNKSWUxNCRaU20rJ6WWOgbYmY" TargetMode="External"/><Relationship Id="rId657" Type="http://schemas.openxmlformats.org/officeDocument/2006/relationships/hyperlink" Target="https://sipac.sig.ufal.br/sipac/visualizaMaterial.do?popup=true&amp;id=29324&amp;acao=12" TargetMode="External"/><Relationship Id="rId899" Type="http://schemas.openxmlformats.org/officeDocument/2006/relationships/hyperlink" Target="https://www.didaticasp.com.br/silicato-de-sodio-puro-500g" TargetMode="External"/><Relationship Id="rId414" Type="http://schemas.openxmlformats.org/officeDocument/2006/relationships/hyperlink" Target="https://www.labimport.com.br/reagentes/caseina/caseina-pura-500g-11791" TargetMode="External"/><Relationship Id="rId656" Type="http://schemas.openxmlformats.org/officeDocument/2006/relationships/hyperlink" Target="https://sipac.sig.ufal.br/sipac/visualizaMaterial.do?popup=true&amp;id=23403&amp;acao=12" TargetMode="External"/><Relationship Id="rId898" Type="http://schemas.openxmlformats.org/officeDocument/2006/relationships/hyperlink" Target="https://sipac.sig.ufal.br/sipac/visualizaMaterial.do?popup=true&amp;id=23707&amp;acao=12" TargetMode="External"/><Relationship Id="rId413" Type="http://schemas.openxmlformats.org/officeDocument/2006/relationships/hyperlink" Target="https://sipac.sig.ufal.br/sipac/visualizaMaterial.do?popup=true&amp;id=23474&amp;acao=12" TargetMode="External"/><Relationship Id="rId655" Type="http://schemas.openxmlformats.org/officeDocument/2006/relationships/hyperlink" Target="https://www.labimport.com.br/reagentes/fucsina/fucsina-acida-ci-42685-25g" TargetMode="External"/><Relationship Id="rId897" Type="http://schemas.openxmlformats.org/officeDocument/2006/relationships/hyperlink" Target="https://www.labimport.com.br/reagentes/silicagel/silicagel-azul-4-a-8mm-pa-500g" TargetMode="External"/><Relationship Id="rId412" Type="http://schemas.openxmlformats.org/officeDocument/2006/relationships/hyperlink" Target="https://www.quimicenter.com.br/carvao-ativado-po-pa-dinamica?parceiro=2837&amp;srsltid=AfmBOoqpewQf-oP3nbU25cxj0sLfXHbHnUrpHsJoNEh2ktGHEU23tLL3BPM" TargetMode="External"/><Relationship Id="rId654" Type="http://schemas.openxmlformats.org/officeDocument/2006/relationships/hyperlink" Target="https://www.lojasynth.com/reagentes-analiticosmaterias-primas/reagentes-analiticosmaterias-primas/fucsina-acida-c-i-42685-p-a?parceiro=2827&amp;variant_id=301349&amp;srsltid=AfmBOopCUmrZCMGNZQBVLCYFs3y-t70zXNaCkloQGKX7j4emyzAKFK-d_7g" TargetMode="External"/><Relationship Id="rId896" Type="http://schemas.openxmlformats.org/officeDocument/2006/relationships/hyperlink" Target="https://www.bclab.com.br/quimicos-reagentes/silicagel-branca-4-8mm-pa-500g-acs-cientifica?gad_source=1&amp;gclid=Cj0KCQjwncWvBhD_ARIsAEb2HW-j2u2b8Kk58XXyXXCdVwHAzrcGnVyjXlbh2KET--dmjAg2BvQRfhgaAo62EALw_wcB" TargetMode="External"/><Relationship Id="rId419" Type="http://schemas.openxmlformats.org/officeDocument/2006/relationships/hyperlink" Target="https://www.orionprodutoscientificos.com.br/celobiose-d-celobiose-purex-25g-exodo-cientifica" TargetMode="External"/><Relationship Id="rId418" Type="http://schemas.openxmlformats.org/officeDocument/2006/relationships/hyperlink" Target="https://www.lojaacscientifica.com.br/celobiose-d-celobiose-purex?variation=13088892" TargetMode="External"/><Relationship Id="rId417" Type="http://schemas.openxmlformats.org/officeDocument/2006/relationships/hyperlink" Target="https://sipac.sig.ufal.br/sipac/visualizaMaterial.do?popup=true&amp;id=32535&amp;acao=12" TargetMode="External"/><Relationship Id="rId659" Type="http://schemas.openxmlformats.org/officeDocument/2006/relationships/hyperlink" Target="https://www.labimport.com.br/reagentes/glicerina/glicerina-pa-acs-1-l-11993" TargetMode="External"/><Relationship Id="rId416" Type="http://schemas.openxmlformats.org/officeDocument/2006/relationships/hyperlink" Target="https://www.orionprodutoscientificos.com.br/caseina-pura-500g-exodo-cientifica" TargetMode="External"/><Relationship Id="rId658" Type="http://schemas.openxmlformats.org/officeDocument/2006/relationships/hyperlink" Target="https://www.bclab.com.br/quimicos-reagentes/glicerina-pa-acs-1l-acs-cientifica?gad_source=4&amp;gclid=CjwKCAjwkuqvBhAQEiwA65XxQHgRZ-uU-rAbamqAsItP1D6SnJm_zZ3GqsuoqX_5s2zvR-LSwEjLOBoC1PwQAvD_BwE" TargetMode="External"/><Relationship Id="rId891" Type="http://schemas.openxmlformats.org/officeDocument/2006/relationships/hyperlink" Target="https://www.labimport.com.br/reagentes/selenito-de-sodio/selenito-de-sodio-anidro-pa-100g" TargetMode="External"/><Relationship Id="rId890" Type="http://schemas.openxmlformats.org/officeDocument/2006/relationships/hyperlink" Target="https://sipac.sig.ufal.br/sipac/visualizaMaterial.do?popup=true&amp;id=24899&amp;acao=12" TargetMode="External"/><Relationship Id="rId411" Type="http://schemas.openxmlformats.org/officeDocument/2006/relationships/hyperlink" Target="https://quimisulsc.com.br/produto/carvao-ativo-po-pa-500g/?srsltid=AfmBOootbPOrHo-Wc3pLUuvIV4EVj-HmmUadfCd3CnsgWsEgsWop-kIDkCA" TargetMode="External"/><Relationship Id="rId653" Type="http://schemas.openxmlformats.org/officeDocument/2006/relationships/hyperlink" Target="https://www.orionprodutoscientificos.com.br/fucsina-acida-ci-42685-25g-exodo-cientifica?utm_source=Site&amp;utm_medium=GoogleMerchant&amp;utm_campaign=GoogleMerchant" TargetMode="External"/><Relationship Id="rId895" Type="http://schemas.openxmlformats.org/officeDocument/2006/relationships/hyperlink" Target="https://www.lojasynth.com/dessecantes/silicas/silica-gel-branca-4-8mm-p-a?parceiro=2827&amp;variant_id=743&amp;gad_source=1&amp;gclid=Cj0KCQjwncWvBhD_ARIsAEb2HW-oYUstljwIYqbqaJ9RC62f4GHuA0Y6TqaXZQKOKYVyXzrTaGxv-AEaAr09EALw_wcB" TargetMode="External"/><Relationship Id="rId1000" Type="http://schemas.openxmlformats.org/officeDocument/2006/relationships/hyperlink" Target="https://sipac.sig.ufal.br/sipac/visualizaMaterial.do?popup=true&amp;id=23672&amp;acao=12" TargetMode="External"/><Relationship Id="rId410" Type="http://schemas.openxmlformats.org/officeDocument/2006/relationships/hyperlink" Target="https://www.labimport.com.br/reagentes/carvao/carvao-ativo-em-po-pa-500g-11787" TargetMode="External"/><Relationship Id="rId652" Type="http://schemas.openxmlformats.org/officeDocument/2006/relationships/hyperlink" Target="https://sipac.sig.ufal.br/sipac/visualizaMaterial.do?popup=true&amp;id=23402&amp;acao=12" TargetMode="External"/><Relationship Id="rId894" Type="http://schemas.openxmlformats.org/officeDocument/2006/relationships/hyperlink" Target="https://sipac.sig.ufal.br/sipac/visualizaMaterial.do?popup=true&amp;id=23709&amp;acao=12" TargetMode="External"/><Relationship Id="rId1001" Type="http://schemas.openxmlformats.org/officeDocument/2006/relationships/hyperlink" Target="https://www.lojalinklab.com.br/sulfeto-de-sodio-9h2o-pa-acs-100g-controle-eb-e-pc?parceiro=1142" TargetMode="External"/><Relationship Id="rId651" Type="http://schemas.openxmlformats.org/officeDocument/2006/relationships/hyperlink" Target="https://www.labimport.com.br/reagentes/fosfato-de-sodio/fosfato-de-sodio-bibasico-12h2o-pa-1000g" TargetMode="External"/><Relationship Id="rId893" Type="http://schemas.openxmlformats.org/officeDocument/2006/relationships/hyperlink" Target="https://www.lojaacscientifica.com.br/selenito-de-sodio-anidro-pa?variation=14180534" TargetMode="External"/><Relationship Id="rId1002" Type="http://schemas.openxmlformats.org/officeDocument/2006/relationships/hyperlink" Target="https://sipac.sig.ufal.br/sipac/visualizaMaterial.do?popup=true&amp;id=23676&amp;acao=12" TargetMode="External"/><Relationship Id="rId650" Type="http://schemas.openxmlformats.org/officeDocument/2006/relationships/hyperlink" Target="https://www.lojanetlab.com.br/reagentes/pa/fosfato-de-sodio-tribasico-12h2o-pa-acs" TargetMode="External"/><Relationship Id="rId892" Type="http://schemas.openxmlformats.org/officeDocument/2006/relationships/hyperlink" Target="https://www.orionprodutoscientificos.com.br/selenito-de-sodio-anidro-p-a-100-g-fabricante-neon?utm_source=Site&amp;utm_medium=GoogleMerchant&amp;utm_campaign=GoogleMerchant" TargetMode="External"/><Relationship Id="rId1003" Type="http://schemas.openxmlformats.org/officeDocument/2006/relationships/hyperlink" Target="https://www.labimport.com.br/reagentes/sulfato-de-sodio/sulfito-de-sodio-anidro-pa-500g-12355" TargetMode="External"/><Relationship Id="rId1037" Type="http://schemas.openxmlformats.org/officeDocument/2006/relationships/hyperlink" Target="https://sipac.sig.ufal.br/sipac/visualizaMaterial.do?popup=true&amp;id=23503&amp;acao=12" TargetMode="External"/><Relationship Id="rId1038" Type="http://schemas.openxmlformats.org/officeDocument/2006/relationships/hyperlink" Target="https://www.lojalinklab.com.br/tolueno-toluol-pa-acs-1l-controle-pc-e-pf?parceiro=1142" TargetMode="External"/><Relationship Id="rId1039" Type="http://schemas.openxmlformats.org/officeDocument/2006/relationships/hyperlink" Target="https://www.didaticasp.com.br/tolueno-toluol-pa-1l-pfssp" TargetMode="External"/><Relationship Id="rId206" Type="http://schemas.openxmlformats.org/officeDocument/2006/relationships/hyperlink" Target="https://www.eplab.com.br/laboratorio/consumo/meio-de-cultura/agar-base-ureia-s-ureia-frasco-500g-g-k25-2180?gad_source=4&amp;gclid=Cj0KCQiArrCvBhCNARIsAOkAGcUCzXA83sJwagNn6GdtpZLuDYIPYlISZQhfe2iIFaW6XkLkHvC6tbcaAtVhEALw_wcB" TargetMode="External"/><Relationship Id="rId448" Type="http://schemas.openxmlformats.org/officeDocument/2006/relationships/hyperlink" Target="https://www.orionprodutoscientificos.com.br/cloreto-de-chumbo-ii-pa-250g-exodo-cientifica?utm_source=Site&amp;utm_medium=GoogleMerchant&amp;utm_campaign=GoogleMerchant" TargetMode="External"/><Relationship Id="rId205" Type="http://schemas.openxmlformats.org/officeDocument/2006/relationships/hyperlink" Target="https://www.didaticasp.com.br/AGAR-UREIA-BASE-500G" TargetMode="External"/><Relationship Id="rId447" Type="http://schemas.openxmlformats.org/officeDocument/2006/relationships/hyperlink" Target="https://www.lojaacscientifica.com.br/cloreto-de-chumbo-ii-pa-embalagem-250g" TargetMode="External"/><Relationship Id="rId689" Type="http://schemas.openxmlformats.org/officeDocument/2006/relationships/hyperlink" Target="https://www.lojalinklab.com.br/hidroxido-de-amonio-28-30-pa-acs-1l-controle-pc-e-pf?parceiro=1142" TargetMode="External"/><Relationship Id="rId204" Type="http://schemas.openxmlformats.org/officeDocument/2006/relationships/hyperlink" Target="https://www.dsyslab.com.br/urea-agar-base-christensen-frasco-500-g-mod-m112i-500g-himedia?parceiro=7063&amp;srsltid=AfmBOop-QcBHVzIfuRD6779kGu8caHg_g5nx2WC4xnVcnReIpdFETJ7d1to" TargetMode="External"/><Relationship Id="rId446" Type="http://schemas.openxmlformats.org/officeDocument/2006/relationships/hyperlink" Target="https://www.labimport.com.br/reagentes/cloreto-de-chumbo/cloreto-de-chumbo-ii-pa-250g" TargetMode="External"/><Relationship Id="rId688" Type="http://schemas.openxmlformats.org/officeDocument/2006/relationships/hyperlink" Target="https://sipac.sig.ufal.br/sipac/visualizaMaterial.do?popup=true&amp;id=23603&amp;acao=12" TargetMode="External"/><Relationship Id="rId203" Type="http://schemas.openxmlformats.org/officeDocument/2006/relationships/hyperlink" Target="https://sipac.sig.ufal.br/sipac/visualizaMaterial.do?popup=true&amp;id=28224&amp;acao=12" TargetMode="External"/><Relationship Id="rId445" Type="http://schemas.openxmlformats.org/officeDocument/2006/relationships/hyperlink" Target="https://sipac.sig.ufal.br/sipac/visualizaMaterial.do?popup=true&amp;id=30769&amp;acao=12" TargetMode="External"/><Relationship Id="rId687" Type="http://schemas.openxmlformats.org/officeDocument/2006/relationships/hyperlink" Target="https://www.ciruvix.com.br/hidroquinona-pa-500gr-dinamica" TargetMode="External"/><Relationship Id="rId209" Type="http://schemas.openxmlformats.org/officeDocument/2006/relationships/hyperlink" Target="https://www.acsreagentes.com.br/agar-verde-brilhante-frasco-500g?utm_source=Site&amp;utm_medium=GoogleShopping&amp;utm_campaign=GooglePMax&amp;gad_source=4&amp;gclid=Cj0KCQiArrCvBhCNARIsAOkAGcWUP_WtVc5YVaFDV5S8LYVZVgFk2uzON3LlkjNFdFUBJv2Xc2TZ7j8aApeOEALw_wcB" TargetMode="External"/><Relationship Id="rId208" Type="http://schemas.openxmlformats.org/officeDocument/2006/relationships/hyperlink" Target="https://www.lojaprolab.com.br/agar-verde-brilhante-80456?utm_source=google&amp;utm_medium=feed&amp;utm_campaign=shopping&amp;gad_source=4&amp;gclid=Cj0KCQiArrCvBhCNARIsAOkAGcWgdBUE-j9hDTH3qpm4UTAyFK4eMIxHW1uJUzzh17204C-aZqIfXdMaAseOEALw_wcB" TargetMode="External"/><Relationship Id="rId207" Type="http://schemas.openxmlformats.org/officeDocument/2006/relationships/hyperlink" Target="https://sipac.sig.ufal.br/sipac/visualizaMaterial.do?popup=true&amp;id=25897&amp;acao=12" TargetMode="External"/><Relationship Id="rId449" Type="http://schemas.openxmlformats.org/officeDocument/2006/relationships/hyperlink" Target="https://sipac.sig.ufal.br/sipac/visualizaMaterial.do?popup=true&amp;id=22757&amp;acao=12" TargetMode="External"/><Relationship Id="rId440" Type="http://schemas.openxmlformats.org/officeDocument/2006/relationships/hyperlink" Target="https://quimisulsc.com.br/produto/cloreto-de-calcio-2h2o-pa-1-kg/?srsltid=AfmBOorsRd-K8aYjGoicPHqCJfZJ_v1jW5QeNMgnYkhoARVKDJwo837ZhFw" TargetMode="External"/><Relationship Id="rId682" Type="http://schemas.openxmlformats.org/officeDocument/2006/relationships/hyperlink" Target="https://www.labimport.com.br/reagentes/hexano/hexano-n-95-pa-acs-1-l-12021" TargetMode="External"/><Relationship Id="rId681" Type="http://schemas.openxmlformats.org/officeDocument/2006/relationships/hyperlink" Target="https://www.lojalinklab.com.br/hexano-n-99-pa-acs-1l-controle-pc?parceiro=1142" TargetMode="External"/><Relationship Id="rId1030" Type="http://schemas.openxmlformats.org/officeDocument/2006/relationships/hyperlink" Target="https://www.ludwigbiotec.com.br/product-page/tiocianato-de-pot%C3%A1ssio-p-a-1-000-g" TargetMode="External"/><Relationship Id="rId680" Type="http://schemas.openxmlformats.org/officeDocument/2006/relationships/hyperlink" Target="https://sipac.sig.ufal.br/sipac/visualizaMaterial.do?popup=true&amp;id=23597&amp;acao=12" TargetMode="External"/><Relationship Id="rId1031" Type="http://schemas.openxmlformats.org/officeDocument/2006/relationships/hyperlink" Target="https://quimisulsc.com.br/produto/tiocianato-de-potassio-p-a/?srsltid=AfmBOoreAgr2_Gztng-VM6ynP5LyxA239CEcn2TJlMX5MLQX8Hi29HHhOEY" TargetMode="External"/><Relationship Id="rId1032" Type="http://schemas.openxmlformats.org/officeDocument/2006/relationships/hyperlink" Target="https://www.lojaacscientifica.com.br/tiocianato-de-potassio-pa-acs-embalagem-500g" TargetMode="External"/><Relationship Id="rId202" Type="http://schemas.openxmlformats.org/officeDocument/2006/relationships/hyperlink" Target="https://www.acsreagentes.com.br/agar-triplo-acucar-ferro-tsi.-frasco-500-g?utm_source=Site&amp;utm_medium=GoogleMerchant&amp;utm_campaign=GoogleMerchant&amp;gad_source=4&amp;gclid=Cj0KCQiArrCvBhCNARIsAOkAGcVaPk10Q3s7_Zohqp2hyOQl07an4QHMiRbZ-yLsRnGdseqO_leTrRoaAigpEALw_wcB" TargetMode="External"/><Relationship Id="rId444" Type="http://schemas.openxmlformats.org/officeDocument/2006/relationships/hyperlink" Target="https://www.lojaacscientifica.com.br/cloreto-de-cesio-999-pa" TargetMode="External"/><Relationship Id="rId686" Type="http://schemas.openxmlformats.org/officeDocument/2006/relationships/hyperlink" Target="https://www.eplab.com.br/hidroquinona-pa-500g-acs?gad_source=4&amp;gclid=CjwKCAjwh4-wBhB3EiwAeJsppFEkqKQiBAx-3WiwFYVeCKSni_DdmXaPcT5BscnOYweTU_PwgVTCQRoCsJkQAvD_BwE" TargetMode="External"/><Relationship Id="rId1033" Type="http://schemas.openxmlformats.org/officeDocument/2006/relationships/hyperlink" Target="https://sipac.sig.ufal.br/sipac/visualizaMaterial.do?popup=true&amp;id=25910&amp;acao=12" TargetMode="External"/><Relationship Id="rId201" Type="http://schemas.openxmlformats.org/officeDocument/2006/relationships/hyperlink" Target="https://www.lumilabor.com.br/reagentes-e-meios/agar-triplice-acucar-ferro-tsi-frasco-500g-k25-1046-kasvi?parceiro=6858&amp;gad_source=4&amp;gclid=Cj0KCQiArrCvBhCNARIsAOkAGcV8T1wG1ovRak22WFPOd1hh_Q0Se7hmBWqLnXZiCt2JnhdQG3fGIxoaAgLsEALw_wcB" TargetMode="External"/><Relationship Id="rId443" Type="http://schemas.openxmlformats.org/officeDocument/2006/relationships/hyperlink" Target="https://www.orionprodutoscientificos.com.br/cloreto-de-cesio-995-pa-25g-exodo-cientifica?utm_source=Site&amp;utm_medium=GoogleMerchant&amp;utm_campaign=GoogleMerchant" TargetMode="External"/><Relationship Id="rId685" Type="http://schemas.openxmlformats.org/officeDocument/2006/relationships/hyperlink" Target="https://www.lojaacscientifica.com.br/hidroquinona-pa?variation=14179742" TargetMode="External"/><Relationship Id="rId1034" Type="http://schemas.openxmlformats.org/officeDocument/2006/relationships/hyperlink" Target="https://www.labimport.com.br/reagentes/tiossulfato-de-sodio/tiossulfato-de-sodio-5h2o-pa-acs-500g" TargetMode="External"/><Relationship Id="rId200" Type="http://schemas.openxmlformats.org/officeDocument/2006/relationships/hyperlink" Target="https://www.lojaprolab.com.br/agar-triplice-acucar-ferro-%e2%80%93-tsi-80454?utm_source=google&amp;utm_medium=feed&amp;utm_campaign=shopping&amp;gad_source=4&amp;gclid=Cj0KCQiArrCvBhCNARIsAOkAGcWawL0hE0IBDRXDE8p9fg7dasQA6jXQ0RfbwP6JPxukO0t-ZiCcSokaAogHEALw_wcB" TargetMode="External"/><Relationship Id="rId442" Type="http://schemas.openxmlformats.org/officeDocument/2006/relationships/hyperlink" Target="https://www.labimport.com.br/reagentes/cloreto-de-cesio/cloreto-de-cesio-99-5-pa-25g-11823" TargetMode="External"/><Relationship Id="rId684" Type="http://schemas.openxmlformats.org/officeDocument/2006/relationships/hyperlink" Target="https://sipac.sig.ufal.br/sipac/visualizaMaterial.do?popup=true&amp;id=23598&amp;acao=12" TargetMode="External"/><Relationship Id="rId1035" Type="http://schemas.openxmlformats.org/officeDocument/2006/relationships/hyperlink" Target="https://www.lojasynth.com/reagentes-analiticosmaterias-primas/reagentes-analiticosmaterias-primas/tiossulfato-de-sodio-5h2o-p-a-a-c-s?variant_id=759&amp;parceiro=2827&amp;srsltid=AfmBOopiKneL5kz9iGSYVcJdoW4pUVT0hV3-EZ7nqVN2P4wuxFDOPpz4d-o" TargetMode="External"/><Relationship Id="rId441" Type="http://schemas.openxmlformats.org/officeDocument/2006/relationships/hyperlink" Target="https://sipac.sig.ufal.br/sipac/visualizaMaterial.do?popup=true&amp;id=32625&amp;acao=12" TargetMode="External"/><Relationship Id="rId683" Type="http://schemas.openxmlformats.org/officeDocument/2006/relationships/hyperlink" Target="https://www.labimport.com.br/reagentes/hexano/hexano-n-99-pa-acs-1-l-12023" TargetMode="External"/><Relationship Id="rId1036" Type="http://schemas.openxmlformats.org/officeDocument/2006/relationships/hyperlink" Target="https://www.laderquimica.com.br/tiossulfato-de-sodio-5h2o-pa-acs-1kg-neon?utm_source=Site&amp;utm_medium=GoogleShopping&amp;utm_campaign=GooglePMax&amp;srsltid=AfmBOoqT4-EgqqOPrhGUGxd_U1SJ-8wSbu37NKv3tuFktJlc1Ez_1RB4gK0" TargetMode="External"/><Relationship Id="rId1026" Type="http://schemas.openxmlformats.org/officeDocument/2006/relationships/hyperlink" Target="https://www.lojaacscientifica.com.br/tiocianato-de-amonio-pa-acs-embalagem-500g" TargetMode="External"/><Relationship Id="rId1027" Type="http://schemas.openxmlformats.org/officeDocument/2006/relationships/hyperlink" Target="https://www.orionprodutoscientificos.com.br/tiocianato-de-amonio-pa-500g-exodo-cientifica?utm_source=Site&amp;utm_medium=GoogleMerchant&amp;utm_campaign=GoogleMerchant" TargetMode="External"/><Relationship Id="rId1028" Type="http://schemas.openxmlformats.org/officeDocument/2006/relationships/hyperlink" Target="https://www.labimport.com.br/reagentes/tiocianato-de-amonio-pa-500g-conc-97-5-dens-1-30" TargetMode="External"/><Relationship Id="rId1029" Type="http://schemas.openxmlformats.org/officeDocument/2006/relationships/hyperlink" Target="https://sipac.sig.ufal.br/sipac/visualizaMaterial.do?popup=true&amp;id=23521&amp;acao=12" TargetMode="External"/><Relationship Id="rId437" Type="http://schemas.openxmlformats.org/officeDocument/2006/relationships/hyperlink" Target="https://sipac.sig.ufal.br/sipac/visualizaMaterial.do?popup=true&amp;id=22748&amp;acao=12" TargetMode="External"/><Relationship Id="rId679" Type="http://schemas.openxmlformats.org/officeDocument/2006/relationships/hyperlink" Target="https://www.lojaacscientifica.com.br/hexano-95-uvhplc-espectroscopico-mistura-de-isomeros-embalagem-1l" TargetMode="External"/><Relationship Id="rId436" Type="http://schemas.openxmlformats.org/officeDocument/2006/relationships/hyperlink" Target="https://www.lojaacscientifica.com.br/cloreto-de-benzoila-ps-embalagem-1l" TargetMode="External"/><Relationship Id="rId678" Type="http://schemas.openxmlformats.org/officeDocument/2006/relationships/hyperlink" Target="https://www.orionprodutoscientificos.com.br/hexano-n-95-uv-hplc-espectroscopico-1l-exodo-cientifica?utm_source=Site&amp;utm_medium=GoogleMerchant&amp;utm_campaign=GoogleMerchant" TargetMode="External"/><Relationship Id="rId435" Type="http://schemas.openxmlformats.org/officeDocument/2006/relationships/hyperlink" Target="https://www.lojalinklab.com.br/cloreto-de-benzoila-ps-1l-controle-pc?parceiro=1142" TargetMode="External"/><Relationship Id="rId677" Type="http://schemas.openxmlformats.org/officeDocument/2006/relationships/hyperlink" Target="https://sipac.sig.ufal.br/sipac/visualizaMaterial.do?popup=true&amp;id=23596&amp;acao=12" TargetMode="External"/><Relationship Id="rId434" Type="http://schemas.openxmlformats.org/officeDocument/2006/relationships/hyperlink" Target="https://sipac.sig.ufal.br/sipac/visualizaMaterial.do?popup=true&amp;id=22747&amp;acao=12" TargetMode="External"/><Relationship Id="rId676" Type="http://schemas.openxmlformats.org/officeDocument/2006/relationships/hyperlink" Target="https://www.laderquimica.com.br/hexametafosfato-de-sodio-pa-500g-neon?utm_source=Site&amp;utm_medium=GoogleMerchant&amp;utm_campaign=GoogleMerchant&amp;srsltid=AfmBOooT37O8pkdUcVNtaqff1OXnhj7nRlZL9HkQdBG6SZeBNSLys4DD5Ow" TargetMode="External"/><Relationship Id="rId439" Type="http://schemas.openxmlformats.org/officeDocument/2006/relationships/hyperlink" Target="https://www.lojaacscientifica.com.br/cloreto-de-calcio-2h2o-pa?variation=13088942" TargetMode="External"/><Relationship Id="rId438" Type="http://schemas.openxmlformats.org/officeDocument/2006/relationships/hyperlink" Target="https://www.labimport.com.br/reagentes/cloreto-de-calcio/cloreto-de-calcio-2h2o-pa-1000g" TargetMode="External"/><Relationship Id="rId671" Type="http://schemas.openxmlformats.org/officeDocument/2006/relationships/hyperlink" Target="https://www.endocommerce.com.br/p/corante-de-hematoxilina-de-harris-1000-ml?parceiro=8702&amp;srsltid=AfmBOoplDZzg3_iPEndp_N2AvfXL6WNXo86eAYVszlxs_u3jJmUz4FcUrIM" TargetMode="External"/><Relationship Id="rId670" Type="http://schemas.openxmlformats.org/officeDocument/2006/relationships/hyperlink" Target="https://www.dsyslab.com.br/hematoxilina-de-harris-frasco-com-1000-ml-mod-pa203-newprov?parceiro=7063&amp;srsltid=AfmBOoq2ZRRPfYVRECgDmqS74BsExUYFn96kUvnL6I21Luk1UM4-Si5y2nI" TargetMode="External"/><Relationship Id="rId1020" Type="http://schemas.openxmlformats.org/officeDocument/2006/relationships/hyperlink" Target="https://quimisulsc.com.br/produto/timol/?srsltid=AfmBOoo0v8yGtYmPVxrs40yYxsvFQZY9X2pfckW5Uga0eeF6A9SbRiLTAIA" TargetMode="External"/><Relationship Id="rId1021" Type="http://schemas.openxmlformats.org/officeDocument/2006/relationships/hyperlink" Target="https://www.orionprodutoscientificos.com.br/produto/timol-puro-100g-exodo-cientifica.html?utm_source=Site&amp;utm_medium=GoogleMerchant&amp;utm_campaign=GoogleMerchant" TargetMode="External"/><Relationship Id="rId433" Type="http://schemas.openxmlformats.org/officeDocument/2006/relationships/hyperlink" Target="https://www.orionprodutoscientificos.com.br/cloreto-de-bario-2h2o-pa-acs-500g-exodo-cientifica" TargetMode="External"/><Relationship Id="rId675" Type="http://schemas.openxmlformats.org/officeDocument/2006/relationships/hyperlink" Target="https://www.orionprodutoscientificos.com.br/hexametafosfato-de-sodio-pa-500g-exodo-cientifica?utm_source=Site&amp;utm_medium=GoogleMerchant&amp;utm_campaign=GoogleMerchant" TargetMode="External"/><Relationship Id="rId1022" Type="http://schemas.openxmlformats.org/officeDocument/2006/relationships/hyperlink" Target="https://sipac.sig.ufal.br/sipac/visualizaMaterial.do?popup=true&amp;id=23680&amp;acao=12" TargetMode="External"/><Relationship Id="rId432" Type="http://schemas.openxmlformats.org/officeDocument/2006/relationships/hyperlink" Target="https://www.lojaacscientifica.com.br/cloreto-de-bario-2h2o-pa-acs?variation=13088937" TargetMode="External"/><Relationship Id="rId674" Type="http://schemas.openxmlformats.org/officeDocument/2006/relationships/hyperlink" Target="https://www.lojalinklab.com.br/hexametafosfato-de-sodio-pa-500g-sem-controle?parceiro=1142&amp;utm_medium=cpc&amp;utm_source=google&amp;utm_campaign=20614034119&amp;utm_content=__c_&amp;utm_term=&amp;utm_local=20097&amp;utm_device=c&amp;gad_source=1&amp;gclid=CjwKCAjwh4-wBhB3EiwAeJsppMPl3eUvasqzW3ywsGWv3aYzUY2F6ah-H95bPTWLbpanvIEief6AOBoC7HsQAvD_BwE" TargetMode="External"/><Relationship Id="rId1023" Type="http://schemas.openxmlformats.org/officeDocument/2006/relationships/hyperlink" Target="https://www.lojaacscientifica.com.br/tioacetamida-pa-acs?variation=14181136" TargetMode="External"/><Relationship Id="rId431" Type="http://schemas.openxmlformats.org/officeDocument/2006/relationships/hyperlink" Target="https://www.laderquimica.com.br/cloreto-de-bario-pa-acs-500g-dinamica?utm_source=Site&amp;utm_medium=GoogleMerchant&amp;utm_campaign=GoogleMerchant&amp;srsltid=AfmBOoo6VXR93PrCFjj-mZv0g6UZgPsbYqtB46JWI-ctkKNUe5xnsvowVZs" TargetMode="External"/><Relationship Id="rId673" Type="http://schemas.openxmlformats.org/officeDocument/2006/relationships/hyperlink" Target="https://sipac.sig.ufal.br/sipac/visualizaMaterial.do?popup=true&amp;id=14624&amp;acao=12" TargetMode="External"/><Relationship Id="rId1024" Type="http://schemas.openxmlformats.org/officeDocument/2006/relationships/hyperlink" Target="https://www.orionprodutoscientificos.com.br/tioacetamida-p-a-acs-50-g-fabricante-neon" TargetMode="External"/><Relationship Id="rId430" Type="http://schemas.openxmlformats.org/officeDocument/2006/relationships/hyperlink" Target="https://sipac.sig.ufal.br/sipac/visualizaMaterial.do?popup=true&amp;id=22746&amp;acao=12" TargetMode="External"/><Relationship Id="rId672" Type="http://schemas.openxmlformats.org/officeDocument/2006/relationships/hyperlink" Target="https://gaiadiagnostica.com.br/produtos/hematoxilina-de-harris-frasco-c-1000ml-newprov/?variant=786400127&amp;pf=mc" TargetMode="External"/><Relationship Id="rId1025" Type="http://schemas.openxmlformats.org/officeDocument/2006/relationships/hyperlink" Target="https://sipac.sig.ufal.br/sipac/visualizaMaterial.do?popup=true&amp;id=23681&amp;acao=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2" max="2" width="44.13"/>
    <col customWidth="1" min="3" max="3" width="9.88"/>
    <col customWidth="1" min="4" max="4" width="8.38"/>
    <col customWidth="1" min="5" max="5" width="9.25"/>
    <col hidden="1" min="6" max="6" width="12.63"/>
    <col customWidth="1" min="7" max="9" width="10.13"/>
    <col customWidth="1" min="10" max="10" width="16.88"/>
    <col customWidth="1" min="12" max="12" width="16.88"/>
    <col customWidth="1" min="16" max="16" width="16.88"/>
    <col customWidth="1" min="17" max="17" width="29.5"/>
    <col hidden="1" min="45" max="65" width="12.63"/>
  </cols>
  <sheetData>
    <row r="1" ht="54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6" t="s">
        <v>16</v>
      </c>
      <c r="R1" s="7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8" t="s">
        <v>44</v>
      </c>
      <c r="AT1" s="9" t="s">
        <v>45</v>
      </c>
      <c r="AU1" s="10" t="s">
        <v>46</v>
      </c>
      <c r="AV1" s="11" t="s">
        <v>47</v>
      </c>
      <c r="AW1" s="12" t="s">
        <v>48</v>
      </c>
      <c r="AX1" s="10" t="s">
        <v>49</v>
      </c>
      <c r="AY1" s="8" t="s">
        <v>50</v>
      </c>
      <c r="AZ1" s="8" t="s">
        <v>51</v>
      </c>
      <c r="BA1" s="9" t="s">
        <v>52</v>
      </c>
      <c r="BB1" s="9" t="s">
        <v>53</v>
      </c>
      <c r="BC1" s="13" t="s">
        <v>54</v>
      </c>
      <c r="BD1" s="10" t="s">
        <v>55</v>
      </c>
      <c r="BE1" s="14" t="s">
        <v>56</v>
      </c>
      <c r="BF1" s="14" t="s">
        <v>57</v>
      </c>
      <c r="BG1" s="9" t="s">
        <v>58</v>
      </c>
      <c r="BH1" s="9" t="s">
        <v>59</v>
      </c>
      <c r="BI1" s="15" t="s">
        <v>60</v>
      </c>
      <c r="BJ1" s="16" t="s">
        <v>61</v>
      </c>
      <c r="BK1" s="14" t="s">
        <v>62</v>
      </c>
      <c r="BL1" s="17" t="s">
        <v>63</v>
      </c>
      <c r="BM1" s="17" t="s">
        <v>64</v>
      </c>
    </row>
    <row r="2">
      <c r="A2" s="18" t="s">
        <v>25</v>
      </c>
      <c r="B2" s="18" t="s">
        <v>65</v>
      </c>
      <c r="C2" s="19" t="s">
        <v>66</v>
      </c>
      <c r="D2" s="19" t="s">
        <v>67</v>
      </c>
      <c r="E2" s="19" t="s">
        <v>68</v>
      </c>
      <c r="F2" s="20">
        <v>1000.0</v>
      </c>
      <c r="G2" s="21">
        <v>2.0</v>
      </c>
      <c r="H2" s="21">
        <v>350.0</v>
      </c>
      <c r="I2" s="21">
        <v>700.0</v>
      </c>
      <c r="J2" s="22"/>
      <c r="K2" s="23">
        <v>2433.46</v>
      </c>
      <c r="L2" s="24">
        <v>1.0</v>
      </c>
      <c r="M2" s="25" t="s">
        <v>69</v>
      </c>
      <c r="N2" s="25" t="s">
        <v>70</v>
      </c>
      <c r="O2" s="25">
        <v>2.1000000268E10</v>
      </c>
      <c r="P2" s="26" t="s">
        <v>71</v>
      </c>
      <c r="Q2" s="27" t="s">
        <v>72</v>
      </c>
      <c r="R2" s="28" t="s">
        <v>73</v>
      </c>
      <c r="S2" s="29">
        <f t="shared" ref="S2:S310" si="1">SUM(T2:AR2)</f>
        <v>200</v>
      </c>
      <c r="T2" s="30"/>
      <c r="U2" s="30"/>
      <c r="V2" s="30"/>
      <c r="W2" s="30"/>
      <c r="X2" s="30"/>
      <c r="Y2" s="30"/>
      <c r="Z2" s="28">
        <v>200.0</v>
      </c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1"/>
      <c r="AT2" s="30"/>
      <c r="AU2" s="32" t="str">
        <f t="shared" ref="AU2:AU251" si="2">AVERAGE(AX2,BD2,BJ2)</f>
        <v>#DIV/0!</v>
      </c>
      <c r="AV2" s="33" t="str">
        <f t="shared" ref="AV2:AV310" si="3">AU2*1.3</f>
        <v>#DIV/0!</v>
      </c>
      <c r="AW2" s="34"/>
      <c r="AX2" s="32"/>
      <c r="AY2" s="31"/>
      <c r="AZ2" s="34"/>
      <c r="BA2" s="30"/>
      <c r="BB2" s="30"/>
      <c r="BC2" s="35"/>
      <c r="BD2" s="32"/>
      <c r="BE2" s="31"/>
      <c r="BF2" s="31"/>
      <c r="BG2" s="30"/>
      <c r="BH2" s="30"/>
      <c r="BI2" s="31"/>
      <c r="BJ2" s="32"/>
      <c r="BK2" s="31"/>
      <c r="BL2" s="30"/>
      <c r="BM2" s="30"/>
    </row>
    <row r="3">
      <c r="A3" s="18" t="s">
        <v>25</v>
      </c>
      <c r="B3" s="18" t="s">
        <v>74</v>
      </c>
      <c r="C3" s="19" t="s">
        <v>75</v>
      </c>
      <c r="D3" s="19" t="s">
        <v>67</v>
      </c>
      <c r="E3" s="19" t="s">
        <v>68</v>
      </c>
      <c r="F3" s="20">
        <v>500.0</v>
      </c>
      <c r="G3" s="21">
        <v>1.0</v>
      </c>
      <c r="H3" s="21">
        <v>0.0</v>
      </c>
      <c r="I3" s="21">
        <v>0.0</v>
      </c>
      <c r="J3" s="36" t="s">
        <v>76</v>
      </c>
      <c r="K3" s="23">
        <v>0.12</v>
      </c>
      <c r="L3" s="24">
        <v>2.0</v>
      </c>
      <c r="M3" s="25" t="s">
        <v>69</v>
      </c>
      <c r="N3" s="25" t="s">
        <v>70</v>
      </c>
      <c r="O3" s="25">
        <v>2.1000000076E10</v>
      </c>
      <c r="P3" s="26" t="s">
        <v>77</v>
      </c>
      <c r="Q3" s="27" t="s">
        <v>78</v>
      </c>
      <c r="R3" s="28" t="s">
        <v>79</v>
      </c>
      <c r="S3" s="29">
        <f t="shared" si="1"/>
        <v>500</v>
      </c>
      <c r="T3" s="30"/>
      <c r="U3" s="30"/>
      <c r="V3" s="30"/>
      <c r="W3" s="30"/>
      <c r="X3" s="30"/>
      <c r="Y3" s="30"/>
      <c r="Z3" s="28">
        <v>500.0</v>
      </c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7" t="s">
        <v>80</v>
      </c>
      <c r="AT3" s="38" t="s">
        <v>81</v>
      </c>
      <c r="AU3" s="32">
        <f t="shared" si="2"/>
        <v>0.09937333333</v>
      </c>
      <c r="AV3" s="33">
        <f t="shared" si="3"/>
        <v>0.1291853333</v>
      </c>
      <c r="AW3" s="37" t="s">
        <v>82</v>
      </c>
      <c r="AX3" s="32">
        <f>38.22/500</f>
        <v>0.07644</v>
      </c>
      <c r="AY3" s="39" t="s">
        <v>83</v>
      </c>
      <c r="AZ3" s="37" t="s">
        <v>84</v>
      </c>
      <c r="BA3" s="38" t="s">
        <v>85</v>
      </c>
      <c r="BB3" s="40">
        <v>45356.0</v>
      </c>
      <c r="BC3" s="41" t="s">
        <v>86</v>
      </c>
      <c r="BD3" s="42">
        <f>59/500</f>
        <v>0.118</v>
      </c>
      <c r="BE3" s="43" t="s">
        <v>87</v>
      </c>
      <c r="BF3" s="37" t="s">
        <v>88</v>
      </c>
      <c r="BG3" s="38" t="s">
        <v>89</v>
      </c>
      <c r="BH3" s="40">
        <v>45357.0</v>
      </c>
      <c r="BI3" s="37" t="s">
        <v>90</v>
      </c>
      <c r="BJ3" s="32">
        <f> 103.68/1000</f>
        <v>0.10368</v>
      </c>
      <c r="BK3" s="44" t="s">
        <v>91</v>
      </c>
      <c r="BL3" s="38" t="s">
        <v>89</v>
      </c>
      <c r="BM3" s="40">
        <v>45357.0</v>
      </c>
    </row>
    <row r="4">
      <c r="A4" s="18" t="s">
        <v>24</v>
      </c>
      <c r="B4" s="18" t="s">
        <v>92</v>
      </c>
      <c r="C4" s="19" t="s">
        <v>93</v>
      </c>
      <c r="D4" s="19" t="s">
        <v>67</v>
      </c>
      <c r="E4" s="19" t="s">
        <v>68</v>
      </c>
      <c r="F4" s="20">
        <v>2.0</v>
      </c>
      <c r="G4" s="21">
        <v>2.0</v>
      </c>
      <c r="H4" s="21">
        <v>45.0</v>
      </c>
      <c r="I4" s="21">
        <v>90.0</v>
      </c>
      <c r="J4" s="45"/>
      <c r="K4" s="23">
        <v>0.12</v>
      </c>
      <c r="L4" s="24">
        <v>3.0</v>
      </c>
      <c r="M4" s="25" t="s">
        <v>69</v>
      </c>
      <c r="N4" s="25" t="s">
        <v>70</v>
      </c>
      <c r="O4" s="25">
        <v>2.1000000003E10</v>
      </c>
      <c r="P4" s="26" t="s">
        <v>94</v>
      </c>
      <c r="Q4" s="27" t="s">
        <v>95</v>
      </c>
      <c r="R4" s="28" t="s">
        <v>79</v>
      </c>
      <c r="S4" s="29">
        <f t="shared" si="1"/>
        <v>4000</v>
      </c>
      <c r="T4" s="30"/>
      <c r="U4" s="30"/>
      <c r="V4" s="30"/>
      <c r="W4" s="30"/>
      <c r="X4" s="30"/>
      <c r="Y4" s="28">
        <v>2000.0</v>
      </c>
      <c r="Z4" s="38">
        <v>2000.0</v>
      </c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7" t="s">
        <v>80</v>
      </c>
      <c r="AT4" s="38" t="s">
        <v>81</v>
      </c>
      <c r="AU4" s="32">
        <f t="shared" si="2"/>
        <v>0.11135</v>
      </c>
      <c r="AV4" s="33">
        <f t="shared" si="3"/>
        <v>0.144755</v>
      </c>
      <c r="AW4" s="37" t="s">
        <v>82</v>
      </c>
      <c r="AX4" s="32">
        <f>111.82/1000</f>
        <v>0.11182</v>
      </c>
      <c r="AY4" s="39" t="s">
        <v>96</v>
      </c>
      <c r="AZ4" s="37" t="s">
        <v>84</v>
      </c>
      <c r="BA4" s="38" t="s">
        <v>97</v>
      </c>
      <c r="BB4" s="40">
        <v>45357.0</v>
      </c>
      <c r="BC4" s="41" t="s">
        <v>86</v>
      </c>
      <c r="BD4" s="42">
        <f>116/1000</f>
        <v>0.116</v>
      </c>
      <c r="BE4" s="46" t="s">
        <v>98</v>
      </c>
      <c r="BF4" s="37" t="s">
        <v>88</v>
      </c>
      <c r="BG4" s="38" t="s">
        <v>89</v>
      </c>
      <c r="BH4" s="40">
        <v>45357.0</v>
      </c>
      <c r="BI4" s="37" t="s">
        <v>90</v>
      </c>
      <c r="BJ4" s="32">
        <f>106.23/1000</f>
        <v>0.10623</v>
      </c>
      <c r="BK4" s="44" t="s">
        <v>99</v>
      </c>
      <c r="BL4" s="38" t="s">
        <v>89</v>
      </c>
      <c r="BM4" s="40">
        <v>45357.0</v>
      </c>
    </row>
    <row r="5">
      <c r="A5" s="18" t="s">
        <v>41</v>
      </c>
      <c r="B5" s="18" t="s">
        <v>100</v>
      </c>
      <c r="C5" s="19" t="s">
        <v>101</v>
      </c>
      <c r="D5" s="19" t="s">
        <v>67</v>
      </c>
      <c r="E5" s="19" t="s">
        <v>68</v>
      </c>
      <c r="F5" s="20">
        <v>1.0</v>
      </c>
      <c r="G5" s="21">
        <v>1.0</v>
      </c>
      <c r="H5" s="21">
        <v>300.0</v>
      </c>
      <c r="I5" s="21">
        <v>300.0</v>
      </c>
      <c r="J5" s="47" t="s">
        <v>102</v>
      </c>
      <c r="K5" s="23">
        <v>0.21</v>
      </c>
      <c r="L5" s="24">
        <v>4.0</v>
      </c>
      <c r="M5" s="25" t="s">
        <v>69</v>
      </c>
      <c r="N5" s="25" t="s">
        <v>70</v>
      </c>
      <c r="O5" s="25">
        <v>2.1000000663E10</v>
      </c>
      <c r="P5" s="26" t="s">
        <v>103</v>
      </c>
      <c r="Q5" s="27" t="s">
        <v>104</v>
      </c>
      <c r="R5" s="28" t="s">
        <v>79</v>
      </c>
      <c r="S5" s="29">
        <f t="shared" si="1"/>
        <v>1000</v>
      </c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28">
        <v>1000.0</v>
      </c>
      <c r="AQ5" s="30"/>
      <c r="AR5" s="30"/>
      <c r="AS5" s="37" t="s">
        <v>105</v>
      </c>
      <c r="AT5" s="38" t="s">
        <v>81</v>
      </c>
      <c r="AU5" s="32">
        <f t="shared" si="2"/>
        <v>0.19282</v>
      </c>
      <c r="AV5" s="33">
        <f t="shared" si="3"/>
        <v>0.250666</v>
      </c>
      <c r="AW5" s="37" t="s">
        <v>82</v>
      </c>
      <c r="AX5" s="32">
        <f>204.62/1000</f>
        <v>0.20462</v>
      </c>
      <c r="AY5" s="39" t="s">
        <v>106</v>
      </c>
      <c r="AZ5" s="37" t="s">
        <v>84</v>
      </c>
      <c r="BA5" s="38" t="s">
        <v>97</v>
      </c>
      <c r="BB5" s="40">
        <v>45357.0</v>
      </c>
      <c r="BC5" s="41" t="s">
        <v>86</v>
      </c>
      <c r="BD5" s="32">
        <f>182/1000</f>
        <v>0.182</v>
      </c>
      <c r="BE5" s="46" t="s">
        <v>107</v>
      </c>
      <c r="BF5" s="37" t="s">
        <v>88</v>
      </c>
      <c r="BG5" s="38" t="s">
        <v>108</v>
      </c>
      <c r="BH5" s="40">
        <v>45357.0</v>
      </c>
      <c r="BI5" s="37" t="s">
        <v>109</v>
      </c>
      <c r="BJ5" s="32">
        <f>191.84/1000</f>
        <v>0.19184</v>
      </c>
      <c r="BK5" s="39" t="s">
        <v>110</v>
      </c>
      <c r="BL5" s="38" t="s">
        <v>111</v>
      </c>
      <c r="BM5" s="40">
        <v>45357.0</v>
      </c>
    </row>
    <row r="6">
      <c r="A6" s="18" t="s">
        <v>41</v>
      </c>
      <c r="B6" s="48" t="s">
        <v>112</v>
      </c>
      <c r="C6" s="19" t="s">
        <v>113</v>
      </c>
      <c r="D6" s="19" t="s">
        <v>67</v>
      </c>
      <c r="E6" s="19" t="s">
        <v>68</v>
      </c>
      <c r="F6" s="20">
        <v>100.0</v>
      </c>
      <c r="G6" s="21">
        <v>100.0</v>
      </c>
      <c r="H6" s="21">
        <v>0.93</v>
      </c>
      <c r="I6" s="21">
        <v>93.0</v>
      </c>
      <c r="J6" s="36" t="s">
        <v>114</v>
      </c>
      <c r="K6" s="23">
        <v>0.67</v>
      </c>
      <c r="L6" s="24">
        <v>5.0</v>
      </c>
      <c r="M6" s="25" t="s">
        <v>69</v>
      </c>
      <c r="N6" s="25" t="s">
        <v>70</v>
      </c>
      <c r="O6" s="25">
        <v>2.100000066E10</v>
      </c>
      <c r="P6" s="26" t="s">
        <v>115</v>
      </c>
      <c r="Q6" s="27" t="s">
        <v>116</v>
      </c>
      <c r="R6" s="28" t="s">
        <v>79</v>
      </c>
      <c r="S6" s="29">
        <f t="shared" si="1"/>
        <v>100</v>
      </c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29">
        <v>100.0</v>
      </c>
      <c r="AQ6" s="30"/>
      <c r="AR6" s="30"/>
      <c r="AS6" s="37" t="s">
        <v>80</v>
      </c>
      <c r="AT6" s="38" t="s">
        <v>81</v>
      </c>
      <c r="AU6" s="32">
        <f t="shared" si="2"/>
        <v>0.6736333333</v>
      </c>
      <c r="AV6" s="33">
        <f t="shared" si="3"/>
        <v>0.8757233333</v>
      </c>
      <c r="AW6" s="37" t="s">
        <v>82</v>
      </c>
      <c r="AX6" s="32">
        <f> 60.29/100</f>
        <v>0.6029</v>
      </c>
      <c r="AY6" s="46" t="s">
        <v>117</v>
      </c>
      <c r="AZ6" s="37" t="s">
        <v>84</v>
      </c>
      <c r="BA6" s="38" t="s">
        <v>97</v>
      </c>
      <c r="BB6" s="40">
        <v>45357.0</v>
      </c>
      <c r="BC6" s="41" t="s">
        <v>86</v>
      </c>
      <c r="BD6" s="32">
        <f>73/100</f>
        <v>0.73</v>
      </c>
      <c r="BE6" s="46" t="s">
        <v>118</v>
      </c>
      <c r="BF6" s="37" t="s">
        <v>88</v>
      </c>
      <c r="BG6" s="38" t="s">
        <v>108</v>
      </c>
      <c r="BH6" s="40">
        <v>45357.0</v>
      </c>
      <c r="BI6" s="37" t="s">
        <v>90</v>
      </c>
      <c r="BJ6" s="32">
        <f>68.8 /100</f>
        <v>0.688</v>
      </c>
      <c r="BK6" s="39" t="s">
        <v>119</v>
      </c>
      <c r="BL6" s="38" t="s">
        <v>89</v>
      </c>
      <c r="BM6" s="40">
        <v>45357.0</v>
      </c>
    </row>
    <row r="7">
      <c r="A7" s="18" t="s">
        <v>25</v>
      </c>
      <c r="B7" s="18" t="s">
        <v>120</v>
      </c>
      <c r="C7" s="19" t="s">
        <v>121</v>
      </c>
      <c r="D7" s="19" t="s">
        <v>67</v>
      </c>
      <c r="E7" s="19" t="s">
        <v>68</v>
      </c>
      <c r="F7" s="20">
        <v>5.0</v>
      </c>
      <c r="G7" s="21">
        <v>5.0</v>
      </c>
      <c r="H7" s="21">
        <v>29.0</v>
      </c>
      <c r="I7" s="21">
        <v>145.0</v>
      </c>
      <c r="J7" s="45"/>
      <c r="K7" s="23">
        <v>69.31</v>
      </c>
      <c r="L7" s="24">
        <v>6.0</v>
      </c>
      <c r="M7" s="25" t="s">
        <v>69</v>
      </c>
      <c r="N7" s="25" t="s">
        <v>70</v>
      </c>
      <c r="O7" s="25">
        <v>2.1000000005E10</v>
      </c>
      <c r="P7" s="26" t="s">
        <v>122</v>
      </c>
      <c r="Q7" s="27" t="s">
        <v>123</v>
      </c>
      <c r="R7" s="28" t="s">
        <v>124</v>
      </c>
      <c r="S7" s="29">
        <f t="shared" si="1"/>
        <v>7</v>
      </c>
      <c r="T7" s="30"/>
      <c r="U7" s="30"/>
      <c r="V7" s="30"/>
      <c r="W7" s="30"/>
      <c r="X7" s="38">
        <v>2.0</v>
      </c>
      <c r="Y7" s="30"/>
      <c r="Z7" s="29">
        <v>5.0</v>
      </c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7" t="s">
        <v>105</v>
      </c>
      <c r="AT7" s="38" t="s">
        <v>81</v>
      </c>
      <c r="AU7" s="32">
        <f t="shared" si="2"/>
        <v>61.87</v>
      </c>
      <c r="AV7" s="33">
        <f t="shared" si="3"/>
        <v>80.431</v>
      </c>
      <c r="AW7" s="34"/>
      <c r="AX7" s="32"/>
      <c r="AY7" s="31"/>
      <c r="AZ7" s="34"/>
      <c r="BA7" s="30"/>
      <c r="BB7" s="30"/>
      <c r="BC7" s="41" t="s">
        <v>125</v>
      </c>
      <c r="BD7" s="42">
        <v>65.06</v>
      </c>
      <c r="BE7" s="39" t="s">
        <v>126</v>
      </c>
      <c r="BF7" s="49" t="s">
        <v>127</v>
      </c>
      <c r="BG7" s="38" t="s">
        <v>128</v>
      </c>
      <c r="BH7" s="40">
        <v>45357.0</v>
      </c>
      <c r="BI7" s="49" t="s">
        <v>109</v>
      </c>
      <c r="BJ7" s="42">
        <v>58.68</v>
      </c>
      <c r="BK7" s="39" t="s">
        <v>129</v>
      </c>
      <c r="BL7" s="38" t="s">
        <v>111</v>
      </c>
      <c r="BM7" s="40">
        <v>45357.0</v>
      </c>
    </row>
    <row r="8">
      <c r="A8" s="18" t="s">
        <v>41</v>
      </c>
      <c r="B8" s="18" t="s">
        <v>130</v>
      </c>
      <c r="C8" s="19" t="s">
        <v>131</v>
      </c>
      <c r="D8" s="19" t="s">
        <v>67</v>
      </c>
      <c r="E8" s="19" t="s">
        <v>68</v>
      </c>
      <c r="F8" s="20">
        <v>500.0</v>
      </c>
      <c r="G8" s="21">
        <v>500.0</v>
      </c>
      <c r="H8" s="21">
        <v>0.04</v>
      </c>
      <c r="I8" s="21">
        <v>20.0</v>
      </c>
      <c r="J8" s="36" t="s">
        <v>132</v>
      </c>
      <c r="K8" s="23">
        <v>0.05</v>
      </c>
      <c r="L8" s="24">
        <v>7.0</v>
      </c>
      <c r="M8" s="25" t="s">
        <v>69</v>
      </c>
      <c r="N8" s="25" t="s">
        <v>70</v>
      </c>
      <c r="O8" s="25">
        <v>2.1000000661E10</v>
      </c>
      <c r="P8" s="26" t="s">
        <v>133</v>
      </c>
      <c r="Q8" s="27" t="s">
        <v>134</v>
      </c>
      <c r="R8" s="28" t="s">
        <v>79</v>
      </c>
      <c r="S8" s="29">
        <f t="shared" si="1"/>
        <v>1000</v>
      </c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28">
        <v>1000.0</v>
      </c>
      <c r="AQ8" s="30"/>
      <c r="AR8" s="30"/>
      <c r="AS8" s="37" t="s">
        <v>105</v>
      </c>
      <c r="AT8" s="38" t="s">
        <v>81</v>
      </c>
      <c r="AU8" s="32">
        <f t="shared" si="2"/>
        <v>0.03672</v>
      </c>
      <c r="AV8" s="33">
        <f t="shared" si="3"/>
        <v>0.047736</v>
      </c>
      <c r="AW8" s="37" t="s">
        <v>82</v>
      </c>
      <c r="AX8" s="32">
        <f>35.41/1000</f>
        <v>0.03541</v>
      </c>
      <c r="AY8" s="39" t="s">
        <v>135</v>
      </c>
      <c r="AZ8" s="37" t="s">
        <v>84</v>
      </c>
      <c r="BA8" s="38" t="s">
        <v>97</v>
      </c>
      <c r="BB8" s="40">
        <v>45357.0</v>
      </c>
      <c r="BC8" s="41" t="s">
        <v>136</v>
      </c>
      <c r="BD8" s="32">
        <f>34.19/1000</f>
        <v>0.03419</v>
      </c>
      <c r="BE8" s="46" t="s">
        <v>137</v>
      </c>
      <c r="BF8" s="49" t="s">
        <v>138</v>
      </c>
      <c r="BG8" s="38" t="s">
        <v>128</v>
      </c>
      <c r="BH8" s="40">
        <v>45357.0</v>
      </c>
      <c r="BI8" s="49" t="s">
        <v>109</v>
      </c>
      <c r="BJ8" s="32">
        <f>20.28/500</f>
        <v>0.04056</v>
      </c>
      <c r="BK8" s="39" t="s">
        <v>139</v>
      </c>
      <c r="BL8" s="38" t="s">
        <v>111</v>
      </c>
      <c r="BM8" s="40">
        <v>45357.0</v>
      </c>
    </row>
    <row r="9">
      <c r="A9" s="18" t="s">
        <v>25</v>
      </c>
      <c r="B9" s="18" t="s">
        <v>140</v>
      </c>
      <c r="C9" s="19" t="s">
        <v>141</v>
      </c>
      <c r="D9" s="19" t="s">
        <v>67</v>
      </c>
      <c r="E9" s="19" t="s">
        <v>68</v>
      </c>
      <c r="F9" s="20">
        <v>1000.0</v>
      </c>
      <c r="G9" s="21">
        <v>2.0</v>
      </c>
      <c r="H9" s="21">
        <v>0.0</v>
      </c>
      <c r="I9" s="21">
        <v>0.0</v>
      </c>
      <c r="J9" s="36" t="s">
        <v>142</v>
      </c>
      <c r="K9" s="23">
        <v>0.08</v>
      </c>
      <c r="L9" s="24">
        <v>8.0</v>
      </c>
      <c r="M9" s="25" t="s">
        <v>69</v>
      </c>
      <c r="N9" s="25" t="s">
        <v>70</v>
      </c>
      <c r="O9" s="25">
        <v>2.1000000007E10</v>
      </c>
      <c r="P9" s="26" t="s">
        <v>143</v>
      </c>
      <c r="Q9" s="27" t="s">
        <v>144</v>
      </c>
      <c r="R9" s="28" t="s">
        <v>79</v>
      </c>
      <c r="S9" s="29">
        <f t="shared" si="1"/>
        <v>1000</v>
      </c>
      <c r="T9" s="30"/>
      <c r="U9" s="30"/>
      <c r="V9" s="30"/>
      <c r="W9" s="30"/>
      <c r="X9" s="30"/>
      <c r="Y9" s="30"/>
      <c r="Z9" s="28">
        <v>1000.0</v>
      </c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7" t="s">
        <v>88</v>
      </c>
      <c r="AT9" s="38" t="s">
        <v>81</v>
      </c>
      <c r="AU9" s="32">
        <f t="shared" si="2"/>
        <v>0.07064666667</v>
      </c>
      <c r="AV9" s="33">
        <f t="shared" si="3"/>
        <v>0.09184066667</v>
      </c>
      <c r="AW9" s="37" t="s">
        <v>145</v>
      </c>
      <c r="AX9" s="32">
        <f>37.59 /500</f>
        <v>0.07518</v>
      </c>
      <c r="AY9" s="39" t="s">
        <v>146</v>
      </c>
      <c r="AZ9" s="37" t="s">
        <v>147</v>
      </c>
      <c r="BA9" s="38" t="s">
        <v>97</v>
      </c>
      <c r="BB9" s="40">
        <v>45357.0</v>
      </c>
      <c r="BC9" s="41" t="s">
        <v>90</v>
      </c>
      <c r="BD9" s="32">
        <f>30.38/500</f>
        <v>0.06076</v>
      </c>
      <c r="BE9" s="39" t="s">
        <v>148</v>
      </c>
      <c r="BF9" s="37" t="s">
        <v>80</v>
      </c>
      <c r="BG9" s="38" t="s">
        <v>89</v>
      </c>
      <c r="BH9" s="40">
        <v>45357.0</v>
      </c>
      <c r="BI9" s="49" t="s">
        <v>86</v>
      </c>
      <c r="BJ9" s="32">
        <f> 38/500</f>
        <v>0.076</v>
      </c>
      <c r="BK9" s="39" t="s">
        <v>149</v>
      </c>
      <c r="BL9" s="38" t="s">
        <v>89</v>
      </c>
      <c r="BM9" s="40">
        <v>45357.0</v>
      </c>
    </row>
    <row r="10">
      <c r="A10" s="18" t="s">
        <v>37</v>
      </c>
      <c r="B10" s="18" t="s">
        <v>150</v>
      </c>
      <c r="C10" s="19" t="s">
        <v>151</v>
      </c>
      <c r="D10" s="19" t="s">
        <v>67</v>
      </c>
      <c r="E10" s="19" t="s">
        <v>68</v>
      </c>
      <c r="F10" s="20">
        <v>7.0</v>
      </c>
      <c r="G10" s="21">
        <v>7.0</v>
      </c>
      <c r="H10" s="21">
        <v>30.99</v>
      </c>
      <c r="I10" s="21">
        <v>216.93</v>
      </c>
      <c r="J10" s="45"/>
      <c r="K10" s="23">
        <v>64.43</v>
      </c>
      <c r="L10" s="24">
        <v>9.0</v>
      </c>
      <c r="M10" s="25" t="s">
        <v>69</v>
      </c>
      <c r="N10" s="25" t="s">
        <v>70</v>
      </c>
      <c r="O10" s="25">
        <v>2.1000000009E10</v>
      </c>
      <c r="P10" s="26" t="s">
        <v>152</v>
      </c>
      <c r="Q10" s="27" t="s">
        <v>153</v>
      </c>
      <c r="R10" s="28" t="s">
        <v>124</v>
      </c>
      <c r="S10" s="29">
        <f t="shared" si="1"/>
        <v>113</v>
      </c>
      <c r="T10" s="30"/>
      <c r="U10" s="30"/>
      <c r="V10" s="38">
        <v>2.0</v>
      </c>
      <c r="W10" s="38">
        <v>2.0</v>
      </c>
      <c r="X10" s="30"/>
      <c r="Y10" s="30"/>
      <c r="Z10" s="38">
        <v>50.0</v>
      </c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29">
        <v>7.0</v>
      </c>
      <c r="AM10" s="30"/>
      <c r="AN10" s="38">
        <v>7.0</v>
      </c>
      <c r="AO10" s="30"/>
      <c r="AP10" s="38">
        <v>2.0</v>
      </c>
      <c r="AQ10" s="38">
        <v>3.0</v>
      </c>
      <c r="AR10" s="30">
        <f>20+20</f>
        <v>40</v>
      </c>
      <c r="AS10" s="31"/>
      <c r="AT10" s="38" t="s">
        <v>81</v>
      </c>
      <c r="AU10" s="32">
        <f t="shared" si="2"/>
        <v>53.995</v>
      </c>
      <c r="AV10" s="33">
        <f t="shared" si="3"/>
        <v>70.1935</v>
      </c>
      <c r="AW10" s="37" t="s">
        <v>125</v>
      </c>
      <c r="AX10" s="42">
        <v>70.46</v>
      </c>
      <c r="AY10" s="46" t="s">
        <v>154</v>
      </c>
      <c r="AZ10" s="37" t="s">
        <v>127</v>
      </c>
      <c r="BA10" s="38" t="s">
        <v>128</v>
      </c>
      <c r="BB10" s="40">
        <v>45357.0</v>
      </c>
      <c r="BC10" s="41" t="s">
        <v>155</v>
      </c>
      <c r="BD10" s="42">
        <v>37.53</v>
      </c>
      <c r="BE10" s="39" t="s">
        <v>156</v>
      </c>
      <c r="BF10" s="49" t="s">
        <v>157</v>
      </c>
      <c r="BG10" s="38" t="s">
        <v>158</v>
      </c>
      <c r="BH10" s="40">
        <v>45357.0</v>
      </c>
      <c r="BI10" s="31"/>
      <c r="BJ10" s="32"/>
      <c r="BK10" s="31"/>
      <c r="BL10" s="30"/>
      <c r="BM10" s="30"/>
    </row>
    <row r="11">
      <c r="A11" s="18" t="s">
        <v>25</v>
      </c>
      <c r="B11" s="18" t="s">
        <v>159</v>
      </c>
      <c r="C11" s="19" t="s">
        <v>160</v>
      </c>
      <c r="D11" s="19" t="s">
        <v>67</v>
      </c>
      <c r="E11" s="19" t="s">
        <v>68</v>
      </c>
      <c r="F11" s="20">
        <v>21.0</v>
      </c>
      <c r="G11" s="21">
        <v>21.0</v>
      </c>
      <c r="H11" s="21">
        <v>53.0</v>
      </c>
      <c r="I11" s="21">
        <v>1113.0</v>
      </c>
      <c r="J11" s="47" t="s">
        <v>161</v>
      </c>
      <c r="K11" s="23">
        <v>195.34</v>
      </c>
      <c r="L11" s="24">
        <v>10.0</v>
      </c>
      <c r="M11" s="25" t="s">
        <v>69</v>
      </c>
      <c r="N11" s="25" t="s">
        <v>70</v>
      </c>
      <c r="O11" s="25">
        <v>2.1000000008E10</v>
      </c>
      <c r="P11" s="26" t="s">
        <v>162</v>
      </c>
      <c r="Q11" s="27" t="s">
        <v>163</v>
      </c>
      <c r="R11" s="28" t="s">
        <v>124</v>
      </c>
      <c r="S11" s="29">
        <f t="shared" si="1"/>
        <v>22</v>
      </c>
      <c r="T11" s="30"/>
      <c r="U11" s="30"/>
      <c r="V11" s="30"/>
      <c r="W11" s="30"/>
      <c r="X11" s="30"/>
      <c r="Y11" s="30"/>
      <c r="Z11" s="29">
        <v>21.0</v>
      </c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8">
        <v>1.0</v>
      </c>
      <c r="AO11" s="30"/>
      <c r="AP11" s="30"/>
      <c r="AQ11" s="30"/>
      <c r="AR11" s="30"/>
      <c r="AS11" s="31"/>
      <c r="AT11" s="30"/>
      <c r="AU11" s="32" t="str">
        <f t="shared" si="2"/>
        <v>#DIV/0!</v>
      </c>
      <c r="AV11" s="33" t="str">
        <f t="shared" si="3"/>
        <v>#DIV/0!</v>
      </c>
      <c r="AW11" s="37"/>
      <c r="AX11" s="42"/>
      <c r="AY11" s="50"/>
      <c r="AZ11" s="37"/>
      <c r="BA11" s="38"/>
      <c r="BB11" s="40"/>
      <c r="BC11" s="35"/>
      <c r="BD11" s="42"/>
      <c r="BE11" s="49"/>
      <c r="BF11" s="31"/>
      <c r="BG11" s="30"/>
      <c r="BH11" s="30"/>
      <c r="BI11" s="31"/>
      <c r="BJ11" s="32"/>
      <c r="BK11" s="31"/>
      <c r="BL11" s="30"/>
      <c r="BM11" s="30"/>
    </row>
    <row r="12">
      <c r="A12" s="18" t="s">
        <v>25</v>
      </c>
      <c r="B12" s="18" t="s">
        <v>164</v>
      </c>
      <c r="C12" s="19" t="s">
        <v>165</v>
      </c>
      <c r="D12" s="19" t="s">
        <v>67</v>
      </c>
      <c r="E12" s="19" t="s">
        <v>68</v>
      </c>
      <c r="F12" s="20">
        <v>20.0</v>
      </c>
      <c r="G12" s="21">
        <v>20.0</v>
      </c>
      <c r="H12" s="21">
        <v>100.0</v>
      </c>
      <c r="I12" s="21">
        <v>2000.0</v>
      </c>
      <c r="J12" s="45"/>
      <c r="K12" s="23">
        <v>157.22</v>
      </c>
      <c r="L12" s="24">
        <v>11.0</v>
      </c>
      <c r="M12" s="25" t="s">
        <v>69</v>
      </c>
      <c r="N12" s="25" t="s">
        <v>70</v>
      </c>
      <c r="O12" s="25">
        <v>2.1000000011E10</v>
      </c>
      <c r="P12" s="26" t="s">
        <v>166</v>
      </c>
      <c r="Q12" s="27" t="s">
        <v>167</v>
      </c>
      <c r="R12" s="28" t="s">
        <v>124</v>
      </c>
      <c r="S12" s="29">
        <f t="shared" si="1"/>
        <v>20</v>
      </c>
      <c r="T12" s="30"/>
      <c r="U12" s="30"/>
      <c r="V12" s="30"/>
      <c r="W12" s="30"/>
      <c r="X12" s="30"/>
      <c r="Y12" s="30"/>
      <c r="Z12" s="29">
        <v>20.0</v>
      </c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1"/>
      <c r="AT12" s="38" t="s">
        <v>168</v>
      </c>
      <c r="AU12" s="32">
        <f t="shared" si="2"/>
        <v>124.0966667</v>
      </c>
      <c r="AV12" s="33">
        <f t="shared" si="3"/>
        <v>161.3256667</v>
      </c>
      <c r="AW12" s="34"/>
      <c r="AX12" s="42">
        <v>100.97</v>
      </c>
      <c r="AY12" s="39" t="s">
        <v>169</v>
      </c>
      <c r="AZ12" s="34"/>
      <c r="BA12" s="30"/>
      <c r="BB12" s="30"/>
      <c r="BC12" s="35"/>
      <c r="BD12" s="42">
        <v>162.21</v>
      </c>
      <c r="BE12" s="46" t="s">
        <v>170</v>
      </c>
      <c r="BF12" s="31"/>
      <c r="BG12" s="30"/>
      <c r="BH12" s="30"/>
      <c r="BI12" s="31"/>
      <c r="BJ12" s="42">
        <v>109.11</v>
      </c>
      <c r="BK12" s="39" t="s">
        <v>171</v>
      </c>
      <c r="BL12" s="30"/>
      <c r="BM12" s="30"/>
    </row>
    <row r="13">
      <c r="A13" s="18" t="s">
        <v>25</v>
      </c>
      <c r="B13" s="18" t="s">
        <v>172</v>
      </c>
      <c r="C13" s="19" t="s">
        <v>173</v>
      </c>
      <c r="D13" s="19" t="s">
        <v>67</v>
      </c>
      <c r="E13" s="19" t="s">
        <v>68</v>
      </c>
      <c r="F13" s="20">
        <v>2.0</v>
      </c>
      <c r="G13" s="21">
        <v>2.0</v>
      </c>
      <c r="H13" s="21">
        <v>97.0</v>
      </c>
      <c r="I13" s="21">
        <v>194.0</v>
      </c>
      <c r="J13" s="45"/>
      <c r="K13" s="23">
        <v>3.64</v>
      </c>
      <c r="L13" s="24">
        <v>12.0</v>
      </c>
      <c r="M13" s="25" t="s">
        <v>69</v>
      </c>
      <c r="N13" s="25" t="s">
        <v>70</v>
      </c>
      <c r="O13" s="25">
        <v>2.1000000012E10</v>
      </c>
      <c r="P13" s="26" t="s">
        <v>174</v>
      </c>
      <c r="Q13" s="27" t="s">
        <v>175</v>
      </c>
      <c r="R13" s="28" t="s">
        <v>79</v>
      </c>
      <c r="S13" s="29">
        <f t="shared" si="1"/>
        <v>100</v>
      </c>
      <c r="T13" s="30"/>
      <c r="U13" s="30"/>
      <c r="V13" s="30"/>
      <c r="W13" s="30"/>
      <c r="X13" s="30"/>
      <c r="Y13" s="30"/>
      <c r="Z13" s="28">
        <f>50+50</f>
        <v>100</v>
      </c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38" t="s">
        <v>168</v>
      </c>
      <c r="AU13" s="32">
        <f t="shared" si="2"/>
        <v>3.7584</v>
      </c>
      <c r="AV13" s="33">
        <f t="shared" si="3"/>
        <v>4.88592</v>
      </c>
      <c r="AW13" s="34"/>
      <c r="AX13" s="32">
        <f>81.44/25</f>
        <v>3.2576</v>
      </c>
      <c r="AY13" s="46" t="s">
        <v>176</v>
      </c>
      <c r="AZ13" s="34"/>
      <c r="BA13" s="30"/>
      <c r="BB13" s="30"/>
      <c r="BC13" s="35"/>
      <c r="BD13" s="32">
        <f>106.48/25</f>
        <v>4.2592</v>
      </c>
      <c r="BE13" s="46" t="s">
        <v>177</v>
      </c>
      <c r="BF13" s="31"/>
      <c r="BG13" s="30"/>
      <c r="BH13" s="30"/>
      <c r="BI13" s="31"/>
      <c r="BJ13" s="32"/>
      <c r="BK13" s="31"/>
      <c r="BL13" s="30"/>
      <c r="BM13" s="30"/>
    </row>
    <row r="14">
      <c r="A14" s="18" t="s">
        <v>40</v>
      </c>
      <c r="B14" s="18" t="s">
        <v>178</v>
      </c>
      <c r="C14" s="19" t="s">
        <v>179</v>
      </c>
      <c r="D14" s="19" t="s">
        <v>67</v>
      </c>
      <c r="E14" s="19" t="s">
        <v>68</v>
      </c>
      <c r="F14" s="20">
        <v>20.0</v>
      </c>
      <c r="G14" s="21">
        <v>20.0</v>
      </c>
      <c r="H14" s="21">
        <v>9.5</v>
      </c>
      <c r="I14" s="21">
        <v>190.0</v>
      </c>
      <c r="J14" s="45"/>
      <c r="K14" s="23">
        <v>74.25</v>
      </c>
      <c r="L14" s="24">
        <v>13.0</v>
      </c>
      <c r="M14" s="25" t="s">
        <v>69</v>
      </c>
      <c r="N14" s="25" t="s">
        <v>70</v>
      </c>
      <c r="O14" s="25">
        <v>2.1000000013E10</v>
      </c>
      <c r="P14" s="26" t="s">
        <v>180</v>
      </c>
      <c r="Q14" s="27" t="s">
        <v>181</v>
      </c>
      <c r="R14" s="28" t="s">
        <v>124</v>
      </c>
      <c r="S14" s="29">
        <f t="shared" si="1"/>
        <v>56</v>
      </c>
      <c r="T14" s="30"/>
      <c r="U14" s="30"/>
      <c r="V14" s="38">
        <v>1.0</v>
      </c>
      <c r="W14" s="30"/>
      <c r="X14" s="30"/>
      <c r="Y14" s="38">
        <v>1.0</v>
      </c>
      <c r="Z14" s="38">
        <v>13.0</v>
      </c>
      <c r="AA14" s="30"/>
      <c r="AB14" s="30"/>
      <c r="AC14" s="30"/>
      <c r="AD14" s="30"/>
      <c r="AE14" s="38">
        <v>10.0</v>
      </c>
      <c r="AF14" s="30"/>
      <c r="AG14" s="30"/>
      <c r="AH14" s="30"/>
      <c r="AI14" s="30"/>
      <c r="AJ14" s="30"/>
      <c r="AK14" s="30"/>
      <c r="AL14" s="38">
        <v>11.0</v>
      </c>
      <c r="AM14" s="30"/>
      <c r="AN14" s="30"/>
      <c r="AO14" s="29">
        <v>20.0</v>
      </c>
      <c r="AP14" s="30"/>
      <c r="AQ14" s="30"/>
      <c r="AR14" s="30"/>
      <c r="AS14" s="31"/>
      <c r="AT14" s="38" t="s">
        <v>168</v>
      </c>
      <c r="AU14" s="32">
        <f t="shared" si="2"/>
        <v>68.56</v>
      </c>
      <c r="AV14" s="33">
        <f t="shared" si="3"/>
        <v>89.128</v>
      </c>
      <c r="AW14" s="34"/>
      <c r="AX14" s="42">
        <v>56.11</v>
      </c>
      <c r="AY14" s="46" t="s">
        <v>182</v>
      </c>
      <c r="AZ14" s="34"/>
      <c r="BA14" s="30"/>
      <c r="BB14" s="30"/>
      <c r="BC14" s="35"/>
      <c r="BD14" s="42">
        <v>60.48</v>
      </c>
      <c r="BE14" s="46" t="s">
        <v>183</v>
      </c>
      <c r="BF14" s="31"/>
      <c r="BG14" s="30"/>
      <c r="BH14" s="30"/>
      <c r="BI14" s="31"/>
      <c r="BJ14" s="42">
        <v>89.09</v>
      </c>
      <c r="BK14" s="46" t="s">
        <v>184</v>
      </c>
      <c r="BL14" s="30"/>
      <c r="BM14" s="30"/>
    </row>
    <row r="15">
      <c r="A15" s="18" t="s">
        <v>24</v>
      </c>
      <c r="B15" s="18" t="s">
        <v>185</v>
      </c>
      <c r="C15" s="19" t="s">
        <v>186</v>
      </c>
      <c r="D15" s="19" t="s">
        <v>67</v>
      </c>
      <c r="E15" s="19" t="s">
        <v>68</v>
      </c>
      <c r="F15" s="20">
        <v>1.0</v>
      </c>
      <c r="G15" s="21">
        <v>1.0</v>
      </c>
      <c r="H15" s="21">
        <v>100.0</v>
      </c>
      <c r="I15" s="21">
        <v>100.0</v>
      </c>
      <c r="J15" s="45"/>
      <c r="K15" s="23">
        <v>0.13</v>
      </c>
      <c r="L15" s="24">
        <v>14.0</v>
      </c>
      <c r="M15" s="25" t="s">
        <v>69</v>
      </c>
      <c r="N15" s="25" t="s">
        <v>70</v>
      </c>
      <c r="O15" s="25">
        <v>2.1000000288E10</v>
      </c>
      <c r="P15" s="26" t="s">
        <v>187</v>
      </c>
      <c r="Q15" s="27" t="s">
        <v>188</v>
      </c>
      <c r="R15" s="28" t="s">
        <v>79</v>
      </c>
      <c r="S15" s="29">
        <f t="shared" si="1"/>
        <v>1000</v>
      </c>
      <c r="T15" s="30"/>
      <c r="U15" s="30"/>
      <c r="V15" s="30"/>
      <c r="W15" s="30"/>
      <c r="X15" s="30"/>
      <c r="Y15" s="28">
        <v>500.0</v>
      </c>
      <c r="Z15" s="38">
        <v>500.0</v>
      </c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1"/>
      <c r="AT15" s="38" t="s">
        <v>168</v>
      </c>
      <c r="AU15" s="32">
        <f t="shared" si="2"/>
        <v>0.1219066667</v>
      </c>
      <c r="AV15" s="33">
        <f t="shared" si="3"/>
        <v>0.1584786667</v>
      </c>
      <c r="AW15" s="34"/>
      <c r="AX15" s="32">
        <f>51.64/500</f>
        <v>0.10328</v>
      </c>
      <c r="AY15" s="46" t="s">
        <v>189</v>
      </c>
      <c r="AZ15" s="34"/>
      <c r="BA15" s="30"/>
      <c r="BB15" s="30"/>
      <c r="BC15" s="35"/>
      <c r="BD15" s="32">
        <f>68.58 /500</f>
        <v>0.13716</v>
      </c>
      <c r="BE15" s="46" t="s">
        <v>190</v>
      </c>
      <c r="BF15" s="31"/>
      <c r="BG15" s="30"/>
      <c r="BH15" s="30"/>
      <c r="BI15" s="31"/>
      <c r="BJ15" s="32">
        <f>62.64/500</f>
        <v>0.12528</v>
      </c>
      <c r="BK15" s="46" t="s">
        <v>191</v>
      </c>
      <c r="BL15" s="30"/>
      <c r="BM15" s="30"/>
    </row>
    <row r="16">
      <c r="A16" s="18" t="s">
        <v>25</v>
      </c>
      <c r="B16" s="18" t="s">
        <v>192</v>
      </c>
      <c r="C16" s="19" t="s">
        <v>193</v>
      </c>
      <c r="D16" s="19" t="s">
        <v>67</v>
      </c>
      <c r="E16" s="19" t="s">
        <v>68</v>
      </c>
      <c r="F16" s="20">
        <v>500.0</v>
      </c>
      <c r="G16" s="21">
        <v>1.0</v>
      </c>
      <c r="H16" s="21">
        <v>40.0</v>
      </c>
      <c r="I16" s="21">
        <v>40.0</v>
      </c>
      <c r="J16" s="36" t="s">
        <v>194</v>
      </c>
      <c r="K16" s="23">
        <v>0.08</v>
      </c>
      <c r="L16" s="24">
        <v>15.0</v>
      </c>
      <c r="M16" s="25" t="s">
        <v>69</v>
      </c>
      <c r="N16" s="25" t="s">
        <v>70</v>
      </c>
      <c r="O16" s="25">
        <v>2.1000000015E10</v>
      </c>
      <c r="P16" s="26" t="s">
        <v>195</v>
      </c>
      <c r="Q16" s="27" t="s">
        <v>196</v>
      </c>
      <c r="R16" s="28" t="s">
        <v>79</v>
      </c>
      <c r="S16" s="29">
        <f t="shared" si="1"/>
        <v>1000</v>
      </c>
      <c r="T16" s="30"/>
      <c r="U16" s="30"/>
      <c r="V16" s="30"/>
      <c r="W16" s="30"/>
      <c r="X16" s="30"/>
      <c r="Y16" s="30"/>
      <c r="Z16" s="28">
        <v>1000.0</v>
      </c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1"/>
      <c r="AT16" s="38" t="s">
        <v>168</v>
      </c>
      <c r="AU16" s="32">
        <f t="shared" si="2"/>
        <v>0.07628</v>
      </c>
      <c r="AV16" s="33">
        <f t="shared" si="3"/>
        <v>0.099164</v>
      </c>
      <c r="AW16" s="34"/>
      <c r="AX16" s="32">
        <f>87.68/1000</f>
        <v>0.08768</v>
      </c>
      <c r="AY16" s="39" t="s">
        <v>197</v>
      </c>
      <c r="AZ16" s="34"/>
      <c r="BA16" s="30"/>
      <c r="BB16" s="30"/>
      <c r="BC16" s="35"/>
      <c r="BD16" s="32">
        <f>64.88/1000</f>
        <v>0.06488</v>
      </c>
      <c r="BE16" s="39" t="s">
        <v>198</v>
      </c>
      <c r="BF16" s="31"/>
      <c r="BG16" s="30"/>
      <c r="BH16" s="30"/>
      <c r="BI16" s="31"/>
      <c r="BJ16" s="32"/>
      <c r="BK16" s="31"/>
      <c r="BL16" s="30"/>
      <c r="BM16" s="30"/>
    </row>
    <row r="17">
      <c r="A17" s="18" t="s">
        <v>41</v>
      </c>
      <c r="B17" s="18" t="s">
        <v>199</v>
      </c>
      <c r="C17" s="19" t="s">
        <v>200</v>
      </c>
      <c r="D17" s="19" t="s">
        <v>67</v>
      </c>
      <c r="E17" s="19" t="s">
        <v>68</v>
      </c>
      <c r="F17" s="20">
        <v>500.0</v>
      </c>
      <c r="G17" s="21">
        <v>500.0</v>
      </c>
      <c r="H17" s="21">
        <v>0.04</v>
      </c>
      <c r="I17" s="21">
        <v>20.0</v>
      </c>
      <c r="J17" s="45"/>
      <c r="K17" s="23">
        <v>0.12</v>
      </c>
      <c r="L17" s="24">
        <v>16.0</v>
      </c>
      <c r="M17" s="25" t="s">
        <v>69</v>
      </c>
      <c r="N17" s="25" t="s">
        <v>70</v>
      </c>
      <c r="O17" s="25">
        <v>2.1000000016E10</v>
      </c>
      <c r="P17" s="26" t="s">
        <v>201</v>
      </c>
      <c r="Q17" s="27" t="s">
        <v>202</v>
      </c>
      <c r="R17" s="28" t="s">
        <v>79</v>
      </c>
      <c r="S17" s="29">
        <f t="shared" si="1"/>
        <v>13000</v>
      </c>
      <c r="T17" s="30"/>
      <c r="U17" s="38">
        <v>500.0</v>
      </c>
      <c r="V17" s="30"/>
      <c r="W17" s="30"/>
      <c r="X17" s="30"/>
      <c r="Y17" s="30"/>
      <c r="Z17" s="38">
        <v>5000.0</v>
      </c>
      <c r="AA17" s="30"/>
      <c r="AB17" s="30"/>
      <c r="AC17" s="30"/>
      <c r="AD17" s="30"/>
      <c r="AE17" s="38">
        <v>3000.0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9">
        <v>500.0</v>
      </c>
      <c r="AQ17" s="38">
        <v>1000.0</v>
      </c>
      <c r="AR17" s="38">
        <f>1500+1500</f>
        <v>3000</v>
      </c>
      <c r="AS17" s="31"/>
      <c r="AT17" s="38" t="s">
        <v>168</v>
      </c>
      <c r="AU17" s="32">
        <f t="shared" si="2"/>
        <v>0.0966</v>
      </c>
      <c r="AV17" s="33">
        <f t="shared" si="3"/>
        <v>0.12558</v>
      </c>
      <c r="AW17" s="34"/>
      <c r="AX17" s="32">
        <f>48.3/500</f>
        <v>0.0966</v>
      </c>
      <c r="AY17" s="39" t="s">
        <v>203</v>
      </c>
      <c r="AZ17" s="34"/>
      <c r="BA17" s="30"/>
      <c r="BB17" s="30"/>
      <c r="BC17" s="35"/>
      <c r="BD17" s="32"/>
      <c r="BE17" s="31"/>
      <c r="BF17" s="31"/>
      <c r="BG17" s="30"/>
      <c r="BH17" s="30"/>
      <c r="BI17" s="31"/>
      <c r="BJ17" s="32"/>
      <c r="BK17" s="31"/>
      <c r="BL17" s="30"/>
      <c r="BM17" s="30"/>
    </row>
    <row r="18">
      <c r="A18" s="18" t="s">
        <v>25</v>
      </c>
      <c r="B18" s="18" t="s">
        <v>204</v>
      </c>
      <c r="C18" s="19" t="s">
        <v>205</v>
      </c>
      <c r="D18" s="19" t="s">
        <v>67</v>
      </c>
      <c r="E18" s="19" t="s">
        <v>68</v>
      </c>
      <c r="F18" s="20">
        <v>25.0</v>
      </c>
      <c r="G18" s="21">
        <v>1.0</v>
      </c>
      <c r="H18" s="21">
        <v>60.0</v>
      </c>
      <c r="I18" s="21">
        <v>60.0</v>
      </c>
      <c r="J18" s="45"/>
      <c r="K18" s="23">
        <v>117.19</v>
      </c>
      <c r="L18" s="24">
        <v>17.0</v>
      </c>
      <c r="M18" s="25" t="s">
        <v>69</v>
      </c>
      <c r="N18" s="25" t="s">
        <v>70</v>
      </c>
      <c r="O18" s="25">
        <v>2.1000000266E10</v>
      </c>
      <c r="P18" s="26" t="s">
        <v>206</v>
      </c>
      <c r="Q18" s="27" t="s">
        <v>207</v>
      </c>
      <c r="R18" s="28" t="s">
        <v>208</v>
      </c>
      <c r="S18" s="29">
        <f t="shared" si="1"/>
        <v>1</v>
      </c>
      <c r="T18" s="30"/>
      <c r="U18" s="30"/>
      <c r="V18" s="30"/>
      <c r="W18" s="30"/>
      <c r="X18" s="30"/>
      <c r="Y18" s="30"/>
      <c r="Z18" s="28">
        <v>1.0</v>
      </c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1"/>
      <c r="AT18" s="38" t="s">
        <v>168</v>
      </c>
      <c r="AU18" s="32">
        <f t="shared" si="2"/>
        <v>5.0068</v>
      </c>
      <c r="AV18" s="33">
        <f t="shared" si="3"/>
        <v>6.50884</v>
      </c>
      <c r="AW18" s="34"/>
      <c r="AX18" s="32">
        <f>135.05 /25</f>
        <v>5.402</v>
      </c>
      <c r="AY18" s="39" t="s">
        <v>209</v>
      </c>
      <c r="AZ18" s="34"/>
      <c r="BA18" s="30"/>
      <c r="BB18" s="30"/>
      <c r="BC18" s="35"/>
      <c r="BD18" s="32">
        <f>142.16/25</f>
        <v>5.6864</v>
      </c>
      <c r="BE18" s="46" t="s">
        <v>210</v>
      </c>
      <c r="BF18" s="31"/>
      <c r="BG18" s="30"/>
      <c r="BH18" s="30"/>
      <c r="BI18" s="31"/>
      <c r="BJ18" s="32">
        <f>98.3/25</f>
        <v>3.932</v>
      </c>
      <c r="BK18" s="39" t="s">
        <v>211</v>
      </c>
      <c r="BL18" s="30"/>
      <c r="BM18" s="30"/>
    </row>
    <row r="19">
      <c r="A19" s="18" t="s">
        <v>25</v>
      </c>
      <c r="B19" s="18" t="s">
        <v>212</v>
      </c>
      <c r="C19" s="19" t="s">
        <v>213</v>
      </c>
      <c r="D19" s="19" t="s">
        <v>67</v>
      </c>
      <c r="E19" s="19" t="s">
        <v>68</v>
      </c>
      <c r="F19" s="20">
        <v>500.0</v>
      </c>
      <c r="G19" s="21">
        <v>1.0</v>
      </c>
      <c r="H19" s="21">
        <v>0.0</v>
      </c>
      <c r="I19" s="21">
        <v>0.0</v>
      </c>
      <c r="J19" s="36" t="s">
        <v>214</v>
      </c>
      <c r="K19" s="23">
        <v>0.08</v>
      </c>
      <c r="L19" s="24">
        <v>18.0</v>
      </c>
      <c r="M19" s="25" t="s">
        <v>69</v>
      </c>
      <c r="N19" s="25" t="s">
        <v>70</v>
      </c>
      <c r="O19" s="25">
        <v>2.1000000017E10</v>
      </c>
      <c r="P19" s="26" t="s">
        <v>215</v>
      </c>
      <c r="Q19" s="27" t="s">
        <v>216</v>
      </c>
      <c r="R19" s="28" t="s">
        <v>79</v>
      </c>
      <c r="S19" s="29">
        <f t="shared" si="1"/>
        <v>500</v>
      </c>
      <c r="T19" s="30"/>
      <c r="U19" s="30"/>
      <c r="V19" s="30"/>
      <c r="W19" s="30"/>
      <c r="X19" s="30"/>
      <c r="Y19" s="30"/>
      <c r="Z19" s="28">
        <v>500.0</v>
      </c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1"/>
      <c r="AT19" s="38" t="s">
        <v>168</v>
      </c>
      <c r="AU19" s="32">
        <f t="shared" si="2"/>
        <v>0.07293</v>
      </c>
      <c r="AV19" s="33">
        <f t="shared" si="3"/>
        <v>0.094809</v>
      </c>
      <c r="AW19" s="34"/>
      <c r="AX19" s="32">
        <f> 83.9 /1000</f>
        <v>0.0839</v>
      </c>
      <c r="AY19" s="46" t="s">
        <v>217</v>
      </c>
      <c r="AZ19" s="34"/>
      <c r="BA19" s="30"/>
      <c r="BB19" s="30"/>
      <c r="BC19" s="35"/>
      <c r="BD19" s="32">
        <f>52.44/1000</f>
        <v>0.05244</v>
      </c>
      <c r="BE19" s="46" t="s">
        <v>218</v>
      </c>
      <c r="BF19" s="31"/>
      <c r="BG19" s="30"/>
      <c r="BH19" s="30"/>
      <c r="BI19" s="31"/>
      <c r="BJ19" s="32">
        <f>82.45/1000</f>
        <v>0.08245</v>
      </c>
      <c r="BK19" s="46" t="s">
        <v>219</v>
      </c>
      <c r="BL19" s="30"/>
      <c r="BM19" s="30"/>
    </row>
    <row r="20">
      <c r="A20" s="18" t="s">
        <v>43</v>
      </c>
      <c r="B20" s="18" t="s">
        <v>220</v>
      </c>
      <c r="C20" s="19" t="s">
        <v>221</v>
      </c>
      <c r="D20" s="19" t="s">
        <v>67</v>
      </c>
      <c r="E20" s="19" t="s">
        <v>68</v>
      </c>
      <c r="F20" s="20">
        <v>20.0</v>
      </c>
      <c r="G20" s="21">
        <v>20.0</v>
      </c>
      <c r="H20" s="21">
        <v>33.0</v>
      </c>
      <c r="I20" s="21">
        <v>660.0</v>
      </c>
      <c r="J20" s="45"/>
      <c r="K20" s="23">
        <v>46.44</v>
      </c>
      <c r="L20" s="24">
        <v>19.0</v>
      </c>
      <c r="M20" s="25" t="s">
        <v>69</v>
      </c>
      <c r="N20" s="25" t="s">
        <v>70</v>
      </c>
      <c r="O20" s="25">
        <v>2.1000000018E10</v>
      </c>
      <c r="P20" s="26" t="s">
        <v>222</v>
      </c>
      <c r="Q20" s="27" t="s">
        <v>223</v>
      </c>
      <c r="R20" s="28" t="s">
        <v>124</v>
      </c>
      <c r="S20" s="29">
        <f t="shared" si="1"/>
        <v>72</v>
      </c>
      <c r="T20" s="30"/>
      <c r="U20" s="38">
        <v>5.0</v>
      </c>
      <c r="V20" s="38">
        <v>1.0</v>
      </c>
      <c r="W20" s="30"/>
      <c r="X20" s="30"/>
      <c r="Y20" s="38">
        <f>6+1</f>
        <v>7</v>
      </c>
      <c r="Z20" s="30">
        <f>5+6</f>
        <v>11</v>
      </c>
      <c r="AA20" s="30"/>
      <c r="AB20" s="30"/>
      <c r="AC20" s="38">
        <v>5.0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8">
        <v>3.0</v>
      </c>
      <c r="AR20" s="29">
        <f>20+20</f>
        <v>40</v>
      </c>
      <c r="AS20" s="31"/>
      <c r="AT20" s="38" t="s">
        <v>168</v>
      </c>
      <c r="AU20" s="32">
        <f t="shared" si="2"/>
        <v>45.715</v>
      </c>
      <c r="AV20" s="33">
        <f t="shared" si="3"/>
        <v>59.4295</v>
      </c>
      <c r="AW20" s="34"/>
      <c r="AX20" s="42"/>
      <c r="AY20" s="50"/>
      <c r="AZ20" s="34"/>
      <c r="BA20" s="30"/>
      <c r="BB20" s="30"/>
      <c r="BC20" s="35"/>
      <c r="BD20" s="42">
        <v>42.53</v>
      </c>
      <c r="BE20" s="39" t="s">
        <v>224</v>
      </c>
      <c r="BF20" s="31"/>
      <c r="BG20" s="30"/>
      <c r="BH20" s="30"/>
      <c r="BI20" s="31"/>
      <c r="BJ20" s="42">
        <v>48.9</v>
      </c>
      <c r="BK20" s="39" t="s">
        <v>225</v>
      </c>
      <c r="BL20" s="30"/>
      <c r="BM20" s="30"/>
    </row>
    <row r="21">
      <c r="A21" s="18" t="s">
        <v>25</v>
      </c>
      <c r="B21" s="18" t="s">
        <v>226</v>
      </c>
      <c r="C21" s="19" t="s">
        <v>227</v>
      </c>
      <c r="D21" s="19" t="s">
        <v>67</v>
      </c>
      <c r="E21" s="19" t="s">
        <v>68</v>
      </c>
      <c r="F21" s="20">
        <v>500.0</v>
      </c>
      <c r="G21" s="21">
        <v>1.0</v>
      </c>
      <c r="H21" s="21">
        <v>2.84</v>
      </c>
      <c r="I21" s="21">
        <v>2.84</v>
      </c>
      <c r="J21" s="45"/>
      <c r="K21" s="23">
        <v>0.11</v>
      </c>
      <c r="L21" s="24">
        <v>20.0</v>
      </c>
      <c r="M21" s="25" t="s">
        <v>69</v>
      </c>
      <c r="N21" s="25" t="s">
        <v>70</v>
      </c>
      <c r="O21" s="25">
        <v>2.1000000021E10</v>
      </c>
      <c r="P21" s="26" t="s">
        <v>228</v>
      </c>
      <c r="Q21" s="27" t="s">
        <v>229</v>
      </c>
      <c r="R21" s="28" t="s">
        <v>79</v>
      </c>
      <c r="S21" s="29">
        <f t="shared" si="1"/>
        <v>1000</v>
      </c>
      <c r="T21" s="30"/>
      <c r="U21" s="30"/>
      <c r="V21" s="30"/>
      <c r="W21" s="30"/>
      <c r="X21" s="30"/>
      <c r="Y21" s="30"/>
      <c r="Z21" s="29">
        <f>500+500</f>
        <v>1000</v>
      </c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1"/>
      <c r="AT21" s="38" t="s">
        <v>168</v>
      </c>
      <c r="AU21" s="32">
        <f t="shared" si="2"/>
        <v>0.0962</v>
      </c>
      <c r="AV21" s="33">
        <f t="shared" si="3"/>
        <v>0.12506</v>
      </c>
      <c r="AW21" s="34"/>
      <c r="AX21" s="32">
        <f>40.86/500</f>
        <v>0.08172</v>
      </c>
      <c r="AY21" s="39" t="s">
        <v>230</v>
      </c>
      <c r="AZ21" s="34"/>
      <c r="BA21" s="30"/>
      <c r="BB21" s="30"/>
      <c r="BC21" s="35"/>
      <c r="BD21" s="32">
        <f> 53.46/500</f>
        <v>0.10692</v>
      </c>
      <c r="BE21" s="46" t="s">
        <v>231</v>
      </c>
      <c r="BF21" s="31"/>
      <c r="BG21" s="30"/>
      <c r="BH21" s="30"/>
      <c r="BI21" s="31"/>
      <c r="BJ21" s="32">
        <f>49.98/500</f>
        <v>0.09996</v>
      </c>
      <c r="BK21" s="39" t="s">
        <v>232</v>
      </c>
      <c r="BL21" s="30"/>
      <c r="BM21" s="30"/>
    </row>
    <row r="22">
      <c r="A22" s="18" t="s">
        <v>25</v>
      </c>
      <c r="B22" s="18" t="s">
        <v>233</v>
      </c>
      <c r="C22" s="19" t="s">
        <v>234</v>
      </c>
      <c r="D22" s="19" t="s">
        <v>67</v>
      </c>
      <c r="E22" s="19" t="s">
        <v>68</v>
      </c>
      <c r="F22" s="20">
        <v>1.0</v>
      </c>
      <c r="G22" s="21">
        <v>1.0</v>
      </c>
      <c r="H22" s="21">
        <v>198.0</v>
      </c>
      <c r="I22" s="21">
        <v>198.0</v>
      </c>
      <c r="J22" s="45"/>
      <c r="K22" s="23">
        <v>316.26</v>
      </c>
      <c r="L22" s="24">
        <v>21.0</v>
      </c>
      <c r="M22" s="25" t="s">
        <v>69</v>
      </c>
      <c r="N22" s="25" t="s">
        <v>70</v>
      </c>
      <c r="O22" s="25">
        <v>2.1000000382E10</v>
      </c>
      <c r="P22" s="26" t="s">
        <v>235</v>
      </c>
      <c r="Q22" s="27" t="s">
        <v>236</v>
      </c>
      <c r="R22" s="28" t="s">
        <v>124</v>
      </c>
      <c r="S22" s="29">
        <f t="shared" si="1"/>
        <v>1</v>
      </c>
      <c r="T22" s="30"/>
      <c r="U22" s="30"/>
      <c r="V22" s="30"/>
      <c r="W22" s="30"/>
      <c r="X22" s="30"/>
      <c r="Y22" s="30"/>
      <c r="Z22" s="29">
        <v>1.0</v>
      </c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1"/>
      <c r="AT22" s="38" t="s">
        <v>168</v>
      </c>
      <c r="AU22" s="32">
        <f t="shared" si="2"/>
        <v>315.54</v>
      </c>
      <c r="AV22" s="33">
        <f t="shared" si="3"/>
        <v>410.202</v>
      </c>
      <c r="AW22" s="34"/>
      <c r="AX22" s="42">
        <v>315.54</v>
      </c>
      <c r="AY22" s="39" t="s">
        <v>237</v>
      </c>
      <c r="AZ22" s="34"/>
      <c r="BA22" s="30"/>
      <c r="BB22" s="30"/>
      <c r="BC22" s="35"/>
      <c r="BD22" s="32"/>
      <c r="BE22" s="31"/>
      <c r="BF22" s="31"/>
      <c r="BG22" s="30"/>
      <c r="BH22" s="30"/>
      <c r="BI22" s="31"/>
      <c r="BJ22" s="32"/>
      <c r="BK22" s="31"/>
      <c r="BL22" s="30"/>
      <c r="BM22" s="30"/>
    </row>
    <row r="23">
      <c r="A23" s="18" t="s">
        <v>24</v>
      </c>
      <c r="B23" s="18" t="s">
        <v>238</v>
      </c>
      <c r="C23" s="19" t="s">
        <v>239</v>
      </c>
      <c r="D23" s="19" t="s">
        <v>67</v>
      </c>
      <c r="E23" s="19" t="s">
        <v>68</v>
      </c>
      <c r="F23" s="20">
        <v>1.0</v>
      </c>
      <c r="G23" s="21">
        <v>1.0</v>
      </c>
      <c r="H23" s="21">
        <v>85.0</v>
      </c>
      <c r="I23" s="21">
        <v>85.0</v>
      </c>
      <c r="J23" s="45"/>
      <c r="K23" s="23">
        <v>110.66</v>
      </c>
      <c r="L23" s="51">
        <v>22.0</v>
      </c>
      <c r="M23" s="25" t="s">
        <v>69</v>
      </c>
      <c r="N23" s="25" t="s">
        <v>70</v>
      </c>
      <c r="O23" s="25">
        <v>2.1000000022E10</v>
      </c>
      <c r="P23" s="26" t="s">
        <v>240</v>
      </c>
      <c r="Q23" s="27" t="s">
        <v>241</v>
      </c>
      <c r="R23" s="28" t="s">
        <v>124</v>
      </c>
      <c r="S23" s="29">
        <f t="shared" si="1"/>
        <v>7</v>
      </c>
      <c r="T23" s="30"/>
      <c r="U23" s="30"/>
      <c r="V23" s="30"/>
      <c r="W23" s="30"/>
      <c r="X23" s="30"/>
      <c r="Y23" s="29">
        <v>1.0</v>
      </c>
      <c r="Z23" s="38">
        <f>1+5</f>
        <v>6</v>
      </c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1"/>
      <c r="AT23" s="38" t="s">
        <v>168</v>
      </c>
      <c r="AU23" s="32">
        <f t="shared" si="2"/>
        <v>100.51</v>
      </c>
      <c r="AV23" s="33">
        <f t="shared" si="3"/>
        <v>130.663</v>
      </c>
      <c r="AW23" s="34"/>
      <c r="AX23" s="42">
        <v>104.24</v>
      </c>
      <c r="AY23" s="39" t="s">
        <v>242</v>
      </c>
      <c r="AZ23" s="34"/>
      <c r="BA23" s="30"/>
      <c r="BB23" s="30"/>
      <c r="BC23" s="35"/>
      <c r="BD23" s="42">
        <v>97.73</v>
      </c>
      <c r="BE23" s="46" t="s">
        <v>243</v>
      </c>
      <c r="BF23" s="31"/>
      <c r="BG23" s="30"/>
      <c r="BH23" s="30"/>
      <c r="BI23" s="31"/>
      <c r="BJ23" s="42">
        <v>99.56</v>
      </c>
      <c r="BK23" s="39" t="s">
        <v>244</v>
      </c>
      <c r="BL23" s="30"/>
      <c r="BM23" s="30"/>
    </row>
    <row r="24">
      <c r="A24" s="18" t="s">
        <v>21</v>
      </c>
      <c r="B24" s="18" t="s">
        <v>245</v>
      </c>
      <c r="C24" s="19" t="s">
        <v>246</v>
      </c>
      <c r="D24" s="19" t="s">
        <v>67</v>
      </c>
      <c r="E24" s="19" t="s">
        <v>68</v>
      </c>
      <c r="F24" s="20">
        <v>100.0</v>
      </c>
      <c r="G24" s="21">
        <v>100.0</v>
      </c>
      <c r="H24" s="21">
        <v>5.44</v>
      </c>
      <c r="I24" s="21">
        <v>544.0</v>
      </c>
      <c r="J24" s="45"/>
      <c r="K24" s="23">
        <v>1.11</v>
      </c>
      <c r="L24" s="24">
        <v>23.0</v>
      </c>
      <c r="M24" s="25" t="s">
        <v>69</v>
      </c>
      <c r="N24" s="25" t="s">
        <v>70</v>
      </c>
      <c r="O24" s="25">
        <v>2.1000000486E10</v>
      </c>
      <c r="P24" s="26" t="s">
        <v>247</v>
      </c>
      <c r="Q24" s="27" t="s">
        <v>248</v>
      </c>
      <c r="R24" s="28" t="s">
        <v>79</v>
      </c>
      <c r="S24" s="29">
        <f t="shared" si="1"/>
        <v>1000</v>
      </c>
      <c r="T24" s="30"/>
      <c r="U24" s="30"/>
      <c r="V24" s="29">
        <v>100.0</v>
      </c>
      <c r="W24" s="30"/>
      <c r="X24" s="30"/>
      <c r="Y24" s="30"/>
      <c r="Z24" s="38">
        <v>300.0</v>
      </c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>
        <f>300+300</f>
        <v>600</v>
      </c>
      <c r="AS24" s="31"/>
      <c r="AT24" s="38" t="s">
        <v>168</v>
      </c>
      <c r="AU24" s="32">
        <f t="shared" si="2"/>
        <v>1.16075</v>
      </c>
      <c r="AV24" s="33">
        <f t="shared" si="3"/>
        <v>1.508975</v>
      </c>
      <c r="AW24" s="34"/>
      <c r="AX24" s="32">
        <f>100.06/100</f>
        <v>1.0006</v>
      </c>
      <c r="AY24" s="46" t="s">
        <v>249</v>
      </c>
      <c r="AZ24" s="34"/>
      <c r="BA24" s="30"/>
      <c r="BB24" s="30"/>
      <c r="BC24" s="35"/>
      <c r="BD24" s="32">
        <f>132.09/100</f>
        <v>1.3209</v>
      </c>
      <c r="BE24" s="46" t="s">
        <v>250</v>
      </c>
      <c r="BF24" s="31"/>
      <c r="BG24" s="30"/>
      <c r="BH24" s="30"/>
      <c r="BI24" s="31"/>
      <c r="BJ24" s="32"/>
      <c r="BK24" s="31"/>
      <c r="BL24" s="30"/>
      <c r="BM24" s="30"/>
    </row>
    <row r="25">
      <c r="A25" s="18" t="s">
        <v>22</v>
      </c>
      <c r="B25" s="18" t="s">
        <v>251</v>
      </c>
      <c r="C25" s="19" t="s">
        <v>252</v>
      </c>
      <c r="D25" s="19" t="s">
        <v>67</v>
      </c>
      <c r="E25" s="19" t="s">
        <v>68</v>
      </c>
      <c r="F25" s="20">
        <v>1.0</v>
      </c>
      <c r="G25" s="21">
        <v>1.0</v>
      </c>
      <c r="H25" s="21">
        <v>345.0</v>
      </c>
      <c r="I25" s="21">
        <v>345.0</v>
      </c>
      <c r="J25" s="45"/>
      <c r="K25" s="23">
        <v>7.67</v>
      </c>
      <c r="L25" s="24">
        <v>24.0</v>
      </c>
      <c r="M25" s="25" t="s">
        <v>69</v>
      </c>
      <c r="N25" s="25" t="s">
        <v>70</v>
      </c>
      <c r="O25" s="25">
        <v>2.1000000024E10</v>
      </c>
      <c r="P25" s="26" t="s">
        <v>253</v>
      </c>
      <c r="Q25" s="27" t="s">
        <v>254</v>
      </c>
      <c r="R25" s="28" t="s">
        <v>79</v>
      </c>
      <c r="S25" s="29">
        <f t="shared" si="1"/>
        <v>10</v>
      </c>
      <c r="T25" s="30"/>
      <c r="U25" s="30"/>
      <c r="V25" s="30"/>
      <c r="W25" s="28">
        <f>5+5</f>
        <v>10</v>
      </c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1"/>
      <c r="AT25" s="38" t="s">
        <v>168</v>
      </c>
      <c r="AU25" s="32">
        <f t="shared" si="2"/>
        <v>7.811</v>
      </c>
      <c r="AV25" s="33">
        <f t="shared" si="3"/>
        <v>10.1543</v>
      </c>
      <c r="AW25" s="34"/>
      <c r="AX25" s="32">
        <f>38.48/5</f>
        <v>7.696</v>
      </c>
      <c r="AY25" s="46" t="s">
        <v>255</v>
      </c>
      <c r="AZ25" s="34"/>
      <c r="BA25" s="30"/>
      <c r="BB25" s="30"/>
      <c r="BC25" s="35"/>
      <c r="BD25" s="42">
        <f>39.63/5</f>
        <v>7.926</v>
      </c>
      <c r="BE25" s="46" t="s">
        <v>256</v>
      </c>
      <c r="BF25" s="31"/>
      <c r="BG25" s="30"/>
      <c r="BH25" s="30"/>
      <c r="BI25" s="31"/>
      <c r="BJ25" s="32"/>
      <c r="BK25" s="31"/>
      <c r="BL25" s="30"/>
      <c r="BM25" s="30"/>
    </row>
    <row r="26">
      <c r="A26" s="18" t="s">
        <v>21</v>
      </c>
      <c r="B26" s="18" t="s">
        <v>257</v>
      </c>
      <c r="C26" s="19" t="s">
        <v>258</v>
      </c>
      <c r="D26" s="19" t="s">
        <v>67</v>
      </c>
      <c r="E26" s="19" t="s">
        <v>68</v>
      </c>
      <c r="F26" s="20">
        <v>1.0</v>
      </c>
      <c r="G26" s="21">
        <v>1.0</v>
      </c>
      <c r="H26" s="21">
        <v>100.97</v>
      </c>
      <c r="I26" s="21">
        <v>100.97</v>
      </c>
      <c r="J26" s="45"/>
      <c r="K26" s="23">
        <v>91.76</v>
      </c>
      <c r="L26" s="24">
        <v>25.0</v>
      </c>
      <c r="M26" s="25" t="s">
        <v>69</v>
      </c>
      <c r="N26" s="25" t="s">
        <v>70</v>
      </c>
      <c r="O26" s="25">
        <v>2.1000000081E10</v>
      </c>
      <c r="P26" s="26" t="s">
        <v>259</v>
      </c>
      <c r="Q26" s="27" t="s">
        <v>260</v>
      </c>
      <c r="R26" s="28" t="s">
        <v>124</v>
      </c>
      <c r="S26" s="29">
        <f t="shared" si="1"/>
        <v>1</v>
      </c>
      <c r="T26" s="30"/>
      <c r="U26" s="30"/>
      <c r="V26" s="29">
        <v>1.0</v>
      </c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1"/>
      <c r="AT26" s="38" t="s">
        <v>168</v>
      </c>
      <c r="AU26" s="32">
        <f t="shared" si="2"/>
        <v>82.54666667</v>
      </c>
      <c r="AV26" s="33">
        <f t="shared" si="3"/>
        <v>107.3106667</v>
      </c>
      <c r="AW26" s="34"/>
      <c r="AX26" s="42">
        <v>77.15</v>
      </c>
      <c r="AY26" s="39" t="s">
        <v>261</v>
      </c>
      <c r="AZ26" s="34"/>
      <c r="BA26" s="30"/>
      <c r="BB26" s="30"/>
      <c r="BC26" s="35"/>
      <c r="BD26" s="42">
        <v>97.51</v>
      </c>
      <c r="BE26" s="39" t="s">
        <v>262</v>
      </c>
      <c r="BF26" s="31"/>
      <c r="BG26" s="30"/>
      <c r="BH26" s="30"/>
      <c r="BI26" s="31"/>
      <c r="BJ26" s="42">
        <v>72.98</v>
      </c>
      <c r="BK26" s="39" t="s">
        <v>263</v>
      </c>
      <c r="BL26" s="30"/>
      <c r="BM26" s="30"/>
    </row>
    <row r="27">
      <c r="A27" s="18" t="s">
        <v>41</v>
      </c>
      <c r="B27" s="18" t="s">
        <v>264</v>
      </c>
      <c r="C27" s="19" t="s">
        <v>265</v>
      </c>
      <c r="D27" s="19" t="s">
        <v>67</v>
      </c>
      <c r="E27" s="19" t="s">
        <v>68</v>
      </c>
      <c r="F27" s="20">
        <v>500.0</v>
      </c>
      <c r="G27" s="21">
        <v>500.0</v>
      </c>
      <c r="H27" s="21">
        <v>0.4</v>
      </c>
      <c r="I27" s="21">
        <v>200.0</v>
      </c>
      <c r="J27" s="45"/>
      <c r="K27" s="23">
        <v>0.19</v>
      </c>
      <c r="L27" s="24">
        <v>26.0</v>
      </c>
      <c r="M27" s="25" t="s">
        <v>69</v>
      </c>
      <c r="N27" s="25" t="s">
        <v>70</v>
      </c>
      <c r="O27" s="25">
        <v>2.1000000456E10</v>
      </c>
      <c r="P27" s="26" t="s">
        <v>266</v>
      </c>
      <c r="Q27" s="27" t="s">
        <v>267</v>
      </c>
      <c r="R27" s="28" t="s">
        <v>79</v>
      </c>
      <c r="S27" s="29">
        <f t="shared" si="1"/>
        <v>500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9">
        <v>500.0</v>
      </c>
      <c r="AQ27" s="30"/>
      <c r="AR27" s="30"/>
      <c r="AS27" s="31"/>
      <c r="AT27" s="38" t="s">
        <v>168</v>
      </c>
      <c r="AU27" s="32">
        <f t="shared" si="2"/>
        <v>0.1901266667</v>
      </c>
      <c r="AV27" s="33">
        <f t="shared" si="3"/>
        <v>0.2471646667</v>
      </c>
      <c r="AW27" s="34"/>
      <c r="AX27" s="32">
        <f>81.7/500</f>
        <v>0.1634</v>
      </c>
      <c r="AY27" s="39" t="s">
        <v>268</v>
      </c>
      <c r="AZ27" s="34"/>
      <c r="BA27" s="30"/>
      <c r="BB27" s="30"/>
      <c r="BC27" s="35"/>
      <c r="BD27" s="32">
        <f> 106.34 /500</f>
        <v>0.21268</v>
      </c>
      <c r="BE27" s="46" t="s">
        <v>269</v>
      </c>
      <c r="BF27" s="31"/>
      <c r="BG27" s="30"/>
      <c r="BH27" s="30"/>
      <c r="BI27" s="31"/>
      <c r="BJ27" s="32">
        <f> 97.15/500</f>
        <v>0.1943</v>
      </c>
      <c r="BK27" s="46" t="s">
        <v>270</v>
      </c>
      <c r="BL27" s="30"/>
      <c r="BM27" s="30"/>
    </row>
    <row r="28">
      <c r="A28" s="18" t="s">
        <v>41</v>
      </c>
      <c r="B28" s="18" t="s">
        <v>271</v>
      </c>
      <c r="C28" s="19" t="s">
        <v>272</v>
      </c>
      <c r="D28" s="19" t="s">
        <v>67</v>
      </c>
      <c r="E28" s="19" t="s">
        <v>68</v>
      </c>
      <c r="F28" s="20">
        <v>200.0</v>
      </c>
      <c r="G28" s="21">
        <v>200.0</v>
      </c>
      <c r="H28" s="21">
        <v>2.08</v>
      </c>
      <c r="I28" s="21">
        <v>416.0</v>
      </c>
      <c r="J28" s="45"/>
      <c r="K28" s="23">
        <v>2.85</v>
      </c>
      <c r="L28" s="24">
        <v>27.0</v>
      </c>
      <c r="M28" s="25" t="s">
        <v>69</v>
      </c>
      <c r="N28" s="25" t="s">
        <v>70</v>
      </c>
      <c r="O28" s="25">
        <v>2.100000006E10</v>
      </c>
      <c r="P28" s="26" t="s">
        <v>273</v>
      </c>
      <c r="Q28" s="27" t="s">
        <v>274</v>
      </c>
      <c r="R28" s="28" t="s">
        <v>79</v>
      </c>
      <c r="S28" s="29">
        <f t="shared" si="1"/>
        <v>200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29">
        <v>200.0</v>
      </c>
      <c r="AQ28" s="30"/>
      <c r="AR28" s="30"/>
      <c r="AS28" s="31"/>
      <c r="AT28" s="38" t="s">
        <v>168</v>
      </c>
      <c r="AU28" s="32">
        <f t="shared" si="2"/>
        <v>2.854633333</v>
      </c>
      <c r="AV28" s="33">
        <f t="shared" si="3"/>
        <v>3.711023333</v>
      </c>
      <c r="AW28" s="34"/>
      <c r="AX28" s="32">
        <f>311/100</f>
        <v>3.11</v>
      </c>
      <c r="AY28" s="46" t="s">
        <v>275</v>
      </c>
      <c r="AZ28" s="34"/>
      <c r="BA28" s="30"/>
      <c r="BB28" s="30"/>
      <c r="BC28" s="35"/>
      <c r="BD28" s="32">
        <f>280.97/100</f>
        <v>2.8097</v>
      </c>
      <c r="BE28" s="39" t="s">
        <v>276</v>
      </c>
      <c r="BF28" s="31"/>
      <c r="BG28" s="30"/>
      <c r="BH28" s="30"/>
      <c r="BI28" s="31"/>
      <c r="BJ28" s="32">
        <f>264.42/100</f>
        <v>2.6442</v>
      </c>
      <c r="BK28" s="46" t="s">
        <v>277</v>
      </c>
      <c r="BL28" s="30"/>
      <c r="BM28" s="30"/>
    </row>
    <row r="29">
      <c r="A29" s="18" t="s">
        <v>24</v>
      </c>
      <c r="B29" s="18" t="s">
        <v>278</v>
      </c>
      <c r="C29" s="19" t="s">
        <v>279</v>
      </c>
      <c r="D29" s="19" t="s">
        <v>67</v>
      </c>
      <c r="E29" s="19" t="s">
        <v>68</v>
      </c>
      <c r="F29" s="20">
        <v>6.0</v>
      </c>
      <c r="G29" s="21">
        <v>6.0</v>
      </c>
      <c r="H29" s="21">
        <v>130.67</v>
      </c>
      <c r="I29" s="21">
        <v>784.02</v>
      </c>
      <c r="J29" s="45"/>
      <c r="K29" s="23">
        <v>187.11</v>
      </c>
      <c r="L29" s="24">
        <v>28.0</v>
      </c>
      <c r="M29" s="25" t="s">
        <v>69</v>
      </c>
      <c r="N29" s="25" t="s">
        <v>70</v>
      </c>
      <c r="O29" s="25">
        <v>2.1000000082E10</v>
      </c>
      <c r="P29" s="26" t="s">
        <v>280</v>
      </c>
      <c r="Q29" s="27" t="s">
        <v>281</v>
      </c>
      <c r="R29" s="28" t="s">
        <v>124</v>
      </c>
      <c r="S29" s="29">
        <f t="shared" si="1"/>
        <v>18</v>
      </c>
      <c r="T29" s="30"/>
      <c r="U29" s="38">
        <v>3.0</v>
      </c>
      <c r="V29" s="38">
        <v>1.0</v>
      </c>
      <c r="W29" s="30"/>
      <c r="X29" s="30"/>
      <c r="Y29" s="29">
        <f>6+1</f>
        <v>7</v>
      </c>
      <c r="Z29" s="30">
        <f>1+1</f>
        <v>2</v>
      </c>
      <c r="AA29" s="30"/>
      <c r="AB29" s="30"/>
      <c r="AC29" s="30"/>
      <c r="AD29" s="30"/>
      <c r="AE29" s="38">
        <v>5.0</v>
      </c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1"/>
      <c r="AT29" s="38" t="s">
        <v>168</v>
      </c>
      <c r="AU29" s="32">
        <f t="shared" si="2"/>
        <v>154.29</v>
      </c>
      <c r="AV29" s="33">
        <f t="shared" si="3"/>
        <v>200.577</v>
      </c>
      <c r="AW29" s="34"/>
      <c r="AX29" s="42"/>
      <c r="AY29" s="31"/>
      <c r="AZ29" s="34"/>
      <c r="BA29" s="30"/>
      <c r="BB29" s="30"/>
      <c r="BC29" s="35"/>
      <c r="BD29" s="42">
        <v>154.29</v>
      </c>
      <c r="BE29" s="46" t="s">
        <v>282</v>
      </c>
      <c r="BF29" s="31"/>
      <c r="BG29" s="30"/>
      <c r="BH29" s="30"/>
      <c r="BI29" s="31"/>
      <c r="BJ29" s="32"/>
      <c r="BK29" s="31"/>
      <c r="BL29" s="30"/>
      <c r="BM29" s="30"/>
    </row>
    <row r="30">
      <c r="A30" s="18" t="s">
        <v>41</v>
      </c>
      <c r="B30" s="18" t="s">
        <v>283</v>
      </c>
      <c r="C30" s="19" t="s">
        <v>284</v>
      </c>
      <c r="D30" s="19" t="s">
        <v>67</v>
      </c>
      <c r="E30" s="19" t="s">
        <v>68</v>
      </c>
      <c r="F30" s="20">
        <v>497.0</v>
      </c>
      <c r="G30" s="21">
        <v>500.0</v>
      </c>
      <c r="H30" s="21">
        <v>0.05</v>
      </c>
      <c r="I30" s="21">
        <v>25.0</v>
      </c>
      <c r="J30" s="45"/>
      <c r="K30" s="23">
        <v>0.07</v>
      </c>
      <c r="L30" s="24">
        <v>29.0</v>
      </c>
      <c r="M30" s="25" t="s">
        <v>69</v>
      </c>
      <c r="N30" s="25" t="s">
        <v>70</v>
      </c>
      <c r="O30" s="25">
        <v>2.1000000066E10</v>
      </c>
      <c r="P30" s="26" t="s">
        <v>285</v>
      </c>
      <c r="Q30" s="27" t="s">
        <v>286</v>
      </c>
      <c r="R30" s="28" t="s">
        <v>79</v>
      </c>
      <c r="S30" s="29">
        <f t="shared" si="1"/>
        <v>1000</v>
      </c>
      <c r="T30" s="30"/>
      <c r="U30" s="30"/>
      <c r="V30" s="30"/>
      <c r="W30" s="30"/>
      <c r="X30" s="30"/>
      <c r="Y30" s="30"/>
      <c r="Z30" s="38">
        <v>500.0</v>
      </c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29">
        <v>500.0</v>
      </c>
      <c r="AQ30" s="30"/>
      <c r="AR30" s="30"/>
      <c r="AS30" s="31"/>
      <c r="AT30" s="38" t="s">
        <v>168</v>
      </c>
      <c r="AU30" s="32">
        <f t="shared" si="2"/>
        <v>0.06814</v>
      </c>
      <c r="AV30" s="33">
        <f t="shared" si="3"/>
        <v>0.088582</v>
      </c>
      <c r="AW30" s="34"/>
      <c r="AX30" s="32">
        <f>33.81/500</f>
        <v>0.06762</v>
      </c>
      <c r="AY30" s="46" t="s">
        <v>287</v>
      </c>
      <c r="AZ30" s="34"/>
      <c r="BA30" s="30"/>
      <c r="BB30" s="30"/>
      <c r="BC30" s="35"/>
      <c r="BD30" s="32">
        <f>32.4/500</f>
        <v>0.0648</v>
      </c>
      <c r="BE30" s="39" t="s">
        <v>288</v>
      </c>
      <c r="BF30" s="31"/>
      <c r="BG30" s="30"/>
      <c r="BH30" s="30"/>
      <c r="BI30" s="31"/>
      <c r="BJ30" s="32">
        <f> 36/500</f>
        <v>0.072</v>
      </c>
      <c r="BK30" s="46" t="s">
        <v>289</v>
      </c>
      <c r="BL30" s="30"/>
      <c r="BM30" s="30"/>
    </row>
    <row r="31">
      <c r="A31" s="18" t="s">
        <v>24</v>
      </c>
      <c r="B31" s="18" t="s">
        <v>290</v>
      </c>
      <c r="C31" s="19" t="s">
        <v>291</v>
      </c>
      <c r="D31" s="19" t="s">
        <v>67</v>
      </c>
      <c r="E31" s="19" t="s">
        <v>68</v>
      </c>
      <c r="F31" s="20">
        <v>1.0</v>
      </c>
      <c r="G31" s="21">
        <v>1.0</v>
      </c>
      <c r="H31" s="21">
        <v>95.0</v>
      </c>
      <c r="I31" s="21">
        <v>95.0</v>
      </c>
      <c r="J31" s="45"/>
      <c r="K31" s="23">
        <v>1080.97</v>
      </c>
      <c r="L31" s="24">
        <v>30.0</v>
      </c>
      <c r="M31" s="25" t="s">
        <v>69</v>
      </c>
      <c r="N31" s="25" t="s">
        <v>70</v>
      </c>
      <c r="O31" s="25">
        <v>2.1000000294E10</v>
      </c>
      <c r="P31" s="26" t="s">
        <v>292</v>
      </c>
      <c r="Q31" s="27" t="s">
        <v>293</v>
      </c>
      <c r="R31" s="28" t="s">
        <v>124</v>
      </c>
      <c r="S31" s="29">
        <f t="shared" si="1"/>
        <v>2</v>
      </c>
      <c r="T31" s="30"/>
      <c r="U31" s="30"/>
      <c r="V31" s="30"/>
      <c r="W31" s="30"/>
      <c r="X31" s="30"/>
      <c r="Y31" s="29">
        <v>1.0</v>
      </c>
      <c r="Z31" s="38">
        <v>1.0</v>
      </c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1"/>
      <c r="AT31" s="38" t="s">
        <v>168</v>
      </c>
      <c r="AU31" s="32">
        <f t="shared" si="2"/>
        <v>994.32</v>
      </c>
      <c r="AV31" s="33">
        <f t="shared" si="3"/>
        <v>1292.616</v>
      </c>
      <c r="AW31" s="34"/>
      <c r="AX31" s="42">
        <v>994.32</v>
      </c>
      <c r="AY31" s="46" t="s">
        <v>294</v>
      </c>
      <c r="AZ31" s="34"/>
      <c r="BA31" s="30"/>
      <c r="BB31" s="30"/>
      <c r="BC31" s="35"/>
      <c r="BD31" s="32"/>
      <c r="BE31" s="31"/>
      <c r="BF31" s="31"/>
      <c r="BG31" s="30"/>
      <c r="BH31" s="30"/>
      <c r="BI31" s="31"/>
      <c r="BJ31" s="32"/>
      <c r="BK31" s="31"/>
      <c r="BL31" s="30"/>
      <c r="BM31" s="30"/>
    </row>
    <row r="32">
      <c r="A32" s="18" t="s">
        <v>25</v>
      </c>
      <c r="B32" s="18" t="s">
        <v>295</v>
      </c>
      <c r="C32" s="19" t="s">
        <v>296</v>
      </c>
      <c r="D32" s="19" t="s">
        <v>67</v>
      </c>
      <c r="E32" s="19" t="s">
        <v>68</v>
      </c>
      <c r="F32" s="20">
        <v>4.0</v>
      </c>
      <c r="G32" s="21">
        <v>4.0</v>
      </c>
      <c r="H32" s="21">
        <v>334.0</v>
      </c>
      <c r="I32" s="21">
        <v>1336.0</v>
      </c>
      <c r="J32" s="45"/>
      <c r="K32" s="23">
        <v>675.22</v>
      </c>
      <c r="L32" s="24">
        <v>31.0</v>
      </c>
      <c r="M32" s="25" t="s">
        <v>69</v>
      </c>
      <c r="N32" s="25" t="s">
        <v>70</v>
      </c>
      <c r="O32" s="25">
        <v>2.1000000488E10</v>
      </c>
      <c r="P32" s="26" t="s">
        <v>297</v>
      </c>
      <c r="Q32" s="27" t="s">
        <v>298</v>
      </c>
      <c r="R32" s="28" t="s">
        <v>299</v>
      </c>
      <c r="S32" s="29">
        <f t="shared" si="1"/>
        <v>4</v>
      </c>
      <c r="T32" s="30"/>
      <c r="U32" s="30"/>
      <c r="V32" s="30"/>
      <c r="W32" s="30"/>
      <c r="X32" s="30"/>
      <c r="Y32" s="30"/>
      <c r="Z32" s="29">
        <v>4.0</v>
      </c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1"/>
      <c r="AT32" s="38" t="s">
        <v>168</v>
      </c>
      <c r="AU32" s="32">
        <f t="shared" si="2"/>
        <v>849.45</v>
      </c>
      <c r="AV32" s="33">
        <f t="shared" si="3"/>
        <v>1104.285</v>
      </c>
      <c r="AW32" s="34"/>
      <c r="AX32" s="42">
        <v>849.45</v>
      </c>
      <c r="AY32" s="39" t="s">
        <v>300</v>
      </c>
      <c r="AZ32" s="34"/>
      <c r="BA32" s="30"/>
      <c r="BB32" s="30"/>
      <c r="BC32" s="35"/>
      <c r="BD32" s="32"/>
      <c r="BE32" s="31"/>
      <c r="BF32" s="31"/>
      <c r="BG32" s="30"/>
      <c r="BH32" s="30"/>
      <c r="BI32" s="31"/>
      <c r="BJ32" s="32"/>
      <c r="BK32" s="31"/>
      <c r="BL32" s="30"/>
      <c r="BM32" s="30"/>
    </row>
    <row r="33">
      <c r="A33" s="18" t="s">
        <v>25</v>
      </c>
      <c r="B33" s="18" t="s">
        <v>301</v>
      </c>
      <c r="C33" s="19" t="s">
        <v>302</v>
      </c>
      <c r="D33" s="19" t="s">
        <v>67</v>
      </c>
      <c r="E33" s="19" t="s">
        <v>68</v>
      </c>
      <c r="F33" s="20">
        <v>2.0</v>
      </c>
      <c r="G33" s="21">
        <v>2.0</v>
      </c>
      <c r="H33" s="21">
        <v>130.0</v>
      </c>
      <c r="I33" s="21">
        <v>260.0</v>
      </c>
      <c r="J33" s="45"/>
      <c r="K33" s="23">
        <v>194.35</v>
      </c>
      <c r="L33" s="24">
        <v>32.0</v>
      </c>
      <c r="M33" s="25" t="s">
        <v>69</v>
      </c>
      <c r="N33" s="25" t="s">
        <v>70</v>
      </c>
      <c r="O33" s="25">
        <v>2.1000000061E10</v>
      </c>
      <c r="P33" s="26" t="s">
        <v>303</v>
      </c>
      <c r="Q33" s="27" t="s">
        <v>304</v>
      </c>
      <c r="R33" s="28" t="s">
        <v>124</v>
      </c>
      <c r="S33" s="29">
        <f t="shared" si="1"/>
        <v>2</v>
      </c>
      <c r="T33" s="30"/>
      <c r="U33" s="30"/>
      <c r="V33" s="30"/>
      <c r="W33" s="30"/>
      <c r="X33" s="30"/>
      <c r="Y33" s="30"/>
      <c r="Z33" s="29">
        <v>2.0</v>
      </c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1"/>
      <c r="AT33" s="38" t="s">
        <v>168</v>
      </c>
      <c r="AU33" s="32">
        <f t="shared" si="2"/>
        <v>192</v>
      </c>
      <c r="AV33" s="33">
        <f t="shared" si="3"/>
        <v>249.6</v>
      </c>
      <c r="AW33" s="34"/>
      <c r="AX33" s="42">
        <v>192.0</v>
      </c>
      <c r="AY33" s="39" t="s">
        <v>305</v>
      </c>
      <c r="AZ33" s="34"/>
      <c r="BA33" s="30"/>
      <c r="BB33" s="30"/>
      <c r="BC33" s="35"/>
      <c r="BD33" s="32"/>
      <c r="BE33" s="31"/>
      <c r="BF33" s="31"/>
      <c r="BG33" s="30"/>
      <c r="BH33" s="30"/>
      <c r="BI33" s="31"/>
      <c r="BJ33" s="32"/>
      <c r="BK33" s="31"/>
      <c r="BL33" s="30"/>
      <c r="BM33" s="30"/>
    </row>
    <row r="34">
      <c r="A34" s="18" t="s">
        <v>41</v>
      </c>
      <c r="B34" s="18" t="s">
        <v>306</v>
      </c>
      <c r="C34" s="19" t="s">
        <v>307</v>
      </c>
      <c r="D34" s="19" t="s">
        <v>67</v>
      </c>
      <c r="E34" s="19" t="s">
        <v>68</v>
      </c>
      <c r="F34" s="20">
        <v>500.0</v>
      </c>
      <c r="G34" s="21">
        <v>500.0</v>
      </c>
      <c r="H34" s="21">
        <v>0.04</v>
      </c>
      <c r="I34" s="21">
        <v>20.0</v>
      </c>
      <c r="J34" s="36" t="s">
        <v>308</v>
      </c>
      <c r="K34" s="23">
        <v>0.22</v>
      </c>
      <c r="L34" s="24">
        <v>33.0</v>
      </c>
      <c r="M34" s="25" t="s">
        <v>69</v>
      </c>
      <c r="N34" s="25" t="s">
        <v>70</v>
      </c>
      <c r="O34" s="25">
        <v>2.1000000373E10</v>
      </c>
      <c r="P34" s="26" t="s">
        <v>309</v>
      </c>
      <c r="Q34" s="27" t="s">
        <v>310</v>
      </c>
      <c r="R34" s="28" t="s">
        <v>79</v>
      </c>
      <c r="S34" s="29">
        <f t="shared" si="1"/>
        <v>750</v>
      </c>
      <c r="T34" s="30"/>
      <c r="U34" s="30"/>
      <c r="V34" s="38">
        <v>250.0</v>
      </c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29">
        <v>500.0</v>
      </c>
      <c r="AQ34" s="30"/>
      <c r="AR34" s="30"/>
      <c r="AS34" s="31"/>
      <c r="AT34" s="38" t="s">
        <v>168</v>
      </c>
      <c r="AU34" s="32">
        <f t="shared" si="2"/>
        <v>0.1976533333</v>
      </c>
      <c r="AV34" s="33">
        <f t="shared" si="3"/>
        <v>0.2569493333</v>
      </c>
      <c r="AW34" s="34"/>
      <c r="AX34" s="32">
        <f> 44.08/250</f>
        <v>0.17632</v>
      </c>
      <c r="AY34" s="39" t="s">
        <v>311</v>
      </c>
      <c r="AZ34" s="34"/>
      <c r="BA34" s="30"/>
      <c r="BB34" s="30"/>
      <c r="BC34" s="35"/>
      <c r="BD34" s="32">
        <f>59.81/250</f>
        <v>0.23924</v>
      </c>
      <c r="BE34" s="46" t="s">
        <v>312</v>
      </c>
      <c r="BF34" s="31"/>
      <c r="BG34" s="30"/>
      <c r="BH34" s="30"/>
      <c r="BI34" s="31"/>
      <c r="BJ34" s="32">
        <f>44.35/250</f>
        <v>0.1774</v>
      </c>
      <c r="BK34" s="46" t="s">
        <v>313</v>
      </c>
      <c r="BL34" s="30"/>
      <c r="BM34" s="30"/>
    </row>
    <row r="35">
      <c r="A35" s="18" t="s">
        <v>41</v>
      </c>
      <c r="B35" s="18" t="s">
        <v>314</v>
      </c>
      <c r="C35" s="19" t="s">
        <v>315</v>
      </c>
      <c r="D35" s="19" t="s">
        <v>67</v>
      </c>
      <c r="E35" s="19" t="s">
        <v>68</v>
      </c>
      <c r="F35" s="20">
        <v>1.0</v>
      </c>
      <c r="G35" s="21">
        <v>1.0</v>
      </c>
      <c r="H35" s="21">
        <v>57.14</v>
      </c>
      <c r="I35" s="21">
        <v>57.14</v>
      </c>
      <c r="J35" s="45"/>
      <c r="K35" s="23">
        <v>87.96</v>
      </c>
      <c r="L35" s="24">
        <v>34.0</v>
      </c>
      <c r="M35" s="25" t="s">
        <v>69</v>
      </c>
      <c r="N35" s="25" t="s">
        <v>70</v>
      </c>
      <c r="O35" s="25">
        <v>2.1000000063E10</v>
      </c>
      <c r="P35" s="26" t="s">
        <v>316</v>
      </c>
      <c r="Q35" s="27" t="s">
        <v>317</v>
      </c>
      <c r="R35" s="28" t="s">
        <v>124</v>
      </c>
      <c r="S35" s="29">
        <f t="shared" si="1"/>
        <v>98</v>
      </c>
      <c r="T35" s="38">
        <v>5.0</v>
      </c>
      <c r="U35" s="38">
        <v>10.0</v>
      </c>
      <c r="V35" s="38">
        <v>5.0</v>
      </c>
      <c r="W35" s="38">
        <v>5.0</v>
      </c>
      <c r="X35" s="30"/>
      <c r="Y35" s="38">
        <v>6.0</v>
      </c>
      <c r="Z35" s="38">
        <f>10+4+4+4</f>
        <v>22</v>
      </c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8">
        <v>2.0</v>
      </c>
      <c r="AP35" s="29">
        <v>1.0</v>
      </c>
      <c r="AQ35" s="38">
        <v>2.0</v>
      </c>
      <c r="AR35" s="30">
        <f>20+20</f>
        <v>40</v>
      </c>
      <c r="AS35" s="49"/>
      <c r="AT35" s="38" t="s">
        <v>168</v>
      </c>
      <c r="AU35" s="32">
        <f t="shared" si="2"/>
        <v>70.385</v>
      </c>
      <c r="AV35" s="33">
        <f t="shared" si="3"/>
        <v>91.5005</v>
      </c>
      <c r="AW35" s="37"/>
      <c r="AX35" s="42">
        <v>72.0</v>
      </c>
      <c r="AY35" s="39" t="s">
        <v>318</v>
      </c>
      <c r="AZ35" s="37"/>
      <c r="BA35" s="38"/>
      <c r="BB35" s="38"/>
      <c r="BC35" s="41"/>
      <c r="BD35" s="42"/>
      <c r="BE35" s="49"/>
      <c r="BF35" s="49"/>
      <c r="BG35" s="38"/>
      <c r="BH35" s="38"/>
      <c r="BI35" s="49"/>
      <c r="BJ35" s="42">
        <v>68.77</v>
      </c>
      <c r="BK35" s="46" t="s">
        <v>319</v>
      </c>
      <c r="BL35" s="38"/>
      <c r="BM35" s="38"/>
    </row>
    <row r="36">
      <c r="A36" s="18" t="s">
        <v>40</v>
      </c>
      <c r="B36" s="18" t="s">
        <v>320</v>
      </c>
      <c r="C36" s="19" t="s">
        <v>321</v>
      </c>
      <c r="D36" s="19" t="s">
        <v>67</v>
      </c>
      <c r="E36" s="19" t="s">
        <v>68</v>
      </c>
      <c r="F36" s="20">
        <v>1.0</v>
      </c>
      <c r="G36" s="21">
        <v>1.0</v>
      </c>
      <c r="H36" s="21">
        <v>130.0</v>
      </c>
      <c r="I36" s="21">
        <v>130.0</v>
      </c>
      <c r="J36" s="52" t="s">
        <v>322</v>
      </c>
      <c r="K36" s="23">
        <v>0.28</v>
      </c>
      <c r="L36" s="24">
        <v>35.0</v>
      </c>
      <c r="M36" s="25" t="s">
        <v>69</v>
      </c>
      <c r="N36" s="25" t="s">
        <v>70</v>
      </c>
      <c r="O36" s="25">
        <v>2.1000000064E10</v>
      </c>
      <c r="P36" s="26" t="s">
        <v>323</v>
      </c>
      <c r="Q36" s="27" t="s">
        <v>324</v>
      </c>
      <c r="R36" s="28" t="s">
        <v>79</v>
      </c>
      <c r="S36" s="29">
        <f t="shared" si="1"/>
        <v>250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28">
        <v>250.0</v>
      </c>
      <c r="AP36" s="30"/>
      <c r="AQ36" s="30"/>
      <c r="AR36" s="30"/>
      <c r="AS36" s="31"/>
      <c r="AT36" s="38" t="s">
        <v>168</v>
      </c>
      <c r="AU36" s="32">
        <f t="shared" si="2"/>
        <v>0.26176</v>
      </c>
      <c r="AV36" s="33">
        <f t="shared" si="3"/>
        <v>0.340288</v>
      </c>
      <c r="AW36" s="34"/>
      <c r="AX36" s="32">
        <f> 67.32 /250</f>
        <v>0.26928</v>
      </c>
      <c r="AY36" s="39" t="s">
        <v>325</v>
      </c>
      <c r="AZ36" s="34"/>
      <c r="BA36" s="30"/>
      <c r="BB36" s="30"/>
      <c r="BC36" s="35"/>
      <c r="BD36" s="32">
        <f>65/250</f>
        <v>0.26</v>
      </c>
      <c r="BE36" s="46" t="s">
        <v>326</v>
      </c>
      <c r="BF36" s="31"/>
      <c r="BG36" s="30"/>
      <c r="BH36" s="30"/>
      <c r="BI36" s="31"/>
      <c r="BJ36" s="32">
        <f>64 /250</f>
        <v>0.256</v>
      </c>
      <c r="BK36" s="39" t="s">
        <v>327</v>
      </c>
      <c r="BL36" s="30"/>
      <c r="BM36" s="30"/>
    </row>
    <row r="37">
      <c r="A37" s="18" t="s">
        <v>43</v>
      </c>
      <c r="B37" s="18" t="s">
        <v>328</v>
      </c>
      <c r="C37" s="53">
        <v>376424.0</v>
      </c>
      <c r="D37" s="19" t="s">
        <v>67</v>
      </c>
      <c r="E37" s="19" t="s">
        <v>68</v>
      </c>
      <c r="F37" s="20">
        <v>1.0</v>
      </c>
      <c r="G37" s="21">
        <v>1.0</v>
      </c>
      <c r="H37" s="21">
        <v>600.0</v>
      </c>
      <c r="I37" s="21">
        <v>600.0</v>
      </c>
      <c r="J37" s="36" t="s">
        <v>329</v>
      </c>
      <c r="K37" s="23">
        <v>22.15</v>
      </c>
      <c r="L37" s="24">
        <v>36.0</v>
      </c>
      <c r="M37" s="25" t="s">
        <v>69</v>
      </c>
      <c r="N37" s="25" t="s">
        <v>70</v>
      </c>
      <c r="O37" s="25">
        <v>2.100000064E10</v>
      </c>
      <c r="P37" s="26" t="s">
        <v>330</v>
      </c>
      <c r="Q37" s="27" t="s">
        <v>331</v>
      </c>
      <c r="R37" s="28" t="s">
        <v>79</v>
      </c>
      <c r="S37" s="29">
        <f t="shared" si="1"/>
        <v>25</v>
      </c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28">
        <v>25.0</v>
      </c>
      <c r="AS37" s="31"/>
      <c r="AT37" s="38" t="s">
        <v>168</v>
      </c>
      <c r="AU37" s="32">
        <f t="shared" si="2"/>
        <v>22.14786667</v>
      </c>
      <c r="AV37" s="33">
        <f t="shared" si="3"/>
        <v>28.79222667</v>
      </c>
      <c r="AW37" s="34"/>
      <c r="AX37" s="32">
        <f>604.73 /25</f>
        <v>24.1892</v>
      </c>
      <c r="AY37" s="46" t="s">
        <v>332</v>
      </c>
      <c r="AZ37" s="34"/>
      <c r="BA37" s="30"/>
      <c r="BB37" s="30"/>
      <c r="BC37" s="35"/>
      <c r="BD37" s="32">
        <f>636.56 /25</f>
        <v>25.4624</v>
      </c>
      <c r="BE37" s="46" t="s">
        <v>333</v>
      </c>
      <c r="BF37" s="31"/>
      <c r="BG37" s="30"/>
      <c r="BH37" s="30"/>
      <c r="BI37" s="31"/>
      <c r="BJ37" s="32">
        <f>419.8/25</f>
        <v>16.792</v>
      </c>
      <c r="BK37" s="46" t="s">
        <v>334</v>
      </c>
      <c r="BL37" s="30"/>
      <c r="BM37" s="30"/>
    </row>
    <row r="38">
      <c r="A38" s="18" t="s">
        <v>25</v>
      </c>
      <c r="B38" s="18" t="s">
        <v>335</v>
      </c>
      <c r="C38" s="19" t="s">
        <v>336</v>
      </c>
      <c r="D38" s="19" t="s">
        <v>67</v>
      </c>
      <c r="E38" s="19" t="s">
        <v>68</v>
      </c>
      <c r="F38" s="20">
        <v>500.0</v>
      </c>
      <c r="G38" s="21">
        <v>1.0</v>
      </c>
      <c r="H38" s="21">
        <v>0.0</v>
      </c>
      <c r="I38" s="21">
        <v>0.0</v>
      </c>
      <c r="J38" s="45"/>
      <c r="K38" s="23">
        <v>0.28</v>
      </c>
      <c r="L38" s="24">
        <v>37.0</v>
      </c>
      <c r="M38" s="25" t="s">
        <v>69</v>
      </c>
      <c r="N38" s="25" t="s">
        <v>70</v>
      </c>
      <c r="O38" s="25">
        <v>2.1000000067E10</v>
      </c>
      <c r="P38" s="26" t="s">
        <v>337</v>
      </c>
      <c r="Q38" s="27" t="s">
        <v>338</v>
      </c>
      <c r="R38" s="28" t="s">
        <v>79</v>
      </c>
      <c r="S38" s="29">
        <f t="shared" si="1"/>
        <v>1000</v>
      </c>
      <c r="T38" s="30"/>
      <c r="U38" s="30"/>
      <c r="V38" s="30"/>
      <c r="W38" s="30"/>
      <c r="X38" s="30"/>
      <c r="Y38" s="30"/>
      <c r="Z38" s="28">
        <v>500.0</v>
      </c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8">
        <v>500.0</v>
      </c>
      <c r="AS38" s="31"/>
      <c r="AT38" s="38" t="s">
        <v>168</v>
      </c>
      <c r="AU38" s="32">
        <f t="shared" si="2"/>
        <v>0.2420666667</v>
      </c>
      <c r="AV38" s="33">
        <f t="shared" si="3"/>
        <v>0.3146866667</v>
      </c>
      <c r="AW38" s="34"/>
      <c r="AX38" s="32">
        <f>128 /500</f>
        <v>0.256</v>
      </c>
      <c r="AY38" s="46" t="s">
        <v>339</v>
      </c>
      <c r="AZ38" s="34"/>
      <c r="BA38" s="30"/>
      <c r="BB38" s="30"/>
      <c r="BC38" s="35"/>
      <c r="BD38" s="32">
        <f>108.1/500</f>
        <v>0.2162</v>
      </c>
      <c r="BE38" s="39" t="s">
        <v>340</v>
      </c>
      <c r="BF38" s="31"/>
      <c r="BG38" s="30"/>
      <c r="BH38" s="30"/>
      <c r="BI38" s="31"/>
      <c r="BJ38" s="32">
        <f>127/500</f>
        <v>0.254</v>
      </c>
      <c r="BK38" s="39" t="s">
        <v>341</v>
      </c>
      <c r="BL38" s="30"/>
      <c r="BM38" s="30"/>
    </row>
    <row r="39">
      <c r="A39" s="18" t="s">
        <v>25</v>
      </c>
      <c r="B39" s="18" t="s">
        <v>342</v>
      </c>
      <c r="C39" s="19" t="s">
        <v>343</v>
      </c>
      <c r="D39" s="19" t="s">
        <v>67</v>
      </c>
      <c r="E39" s="19" t="s">
        <v>68</v>
      </c>
      <c r="F39" s="20">
        <v>100.0</v>
      </c>
      <c r="G39" s="21">
        <v>4.0</v>
      </c>
      <c r="H39" s="21">
        <v>65.0</v>
      </c>
      <c r="I39" s="21">
        <v>260.0</v>
      </c>
      <c r="J39" s="45"/>
      <c r="K39" s="23">
        <v>2.08</v>
      </c>
      <c r="L39" s="24">
        <v>38.0</v>
      </c>
      <c r="M39" s="25" t="s">
        <v>69</v>
      </c>
      <c r="N39" s="25" t="s">
        <v>70</v>
      </c>
      <c r="O39" s="25">
        <v>2.1000000252E10</v>
      </c>
      <c r="P39" s="26" t="s">
        <v>344</v>
      </c>
      <c r="Q39" s="27" t="s">
        <v>345</v>
      </c>
      <c r="R39" s="28" t="s">
        <v>79</v>
      </c>
      <c r="S39" s="29">
        <f t="shared" si="1"/>
        <v>625</v>
      </c>
      <c r="T39" s="30"/>
      <c r="U39" s="30"/>
      <c r="V39" s="30"/>
      <c r="W39" s="30"/>
      <c r="X39" s="30"/>
      <c r="Y39" s="30"/>
      <c r="Z39" s="28">
        <v>100.0</v>
      </c>
      <c r="AA39" s="30"/>
      <c r="AB39" s="30"/>
      <c r="AC39" s="38">
        <v>500.0</v>
      </c>
      <c r="AD39" s="30"/>
      <c r="AE39" s="38">
        <v>25.0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1"/>
      <c r="AT39" s="38" t="s">
        <v>168</v>
      </c>
      <c r="AU39" s="32">
        <f t="shared" si="2"/>
        <v>2.275866667</v>
      </c>
      <c r="AV39" s="33">
        <f t="shared" si="3"/>
        <v>2.958626667</v>
      </c>
      <c r="AW39" s="34"/>
      <c r="AX39" s="32">
        <f>65.92/25</f>
        <v>2.6368</v>
      </c>
      <c r="AY39" s="46" t="s">
        <v>346</v>
      </c>
      <c r="AZ39" s="34"/>
      <c r="BA39" s="30"/>
      <c r="BB39" s="30"/>
      <c r="BC39" s="35"/>
      <c r="BD39" s="32">
        <f>49.6 /25</f>
        <v>1.984</v>
      </c>
      <c r="BE39" s="46" t="s">
        <v>347</v>
      </c>
      <c r="BF39" s="31"/>
      <c r="BG39" s="30"/>
      <c r="BH39" s="30"/>
      <c r="BI39" s="31"/>
      <c r="BJ39" s="32">
        <f>55.17/25</f>
        <v>2.2068</v>
      </c>
      <c r="BK39" s="46" t="s">
        <v>348</v>
      </c>
      <c r="BL39" s="30"/>
      <c r="BM39" s="30"/>
    </row>
    <row r="40">
      <c r="A40" s="18" t="s">
        <v>22</v>
      </c>
      <c r="B40" s="18" t="s">
        <v>349</v>
      </c>
      <c r="C40" s="19" t="s">
        <v>350</v>
      </c>
      <c r="D40" s="19" t="s">
        <v>67</v>
      </c>
      <c r="E40" s="19" t="s">
        <v>68</v>
      </c>
      <c r="F40" s="20">
        <v>1.0</v>
      </c>
      <c r="G40" s="21">
        <v>1.0</v>
      </c>
      <c r="H40" s="21">
        <v>300.0</v>
      </c>
      <c r="I40" s="21">
        <v>300.0</v>
      </c>
      <c r="J40" s="45"/>
      <c r="K40" s="23">
        <v>609.46</v>
      </c>
      <c r="L40" s="24">
        <v>39.0</v>
      </c>
      <c r="M40" s="25" t="s">
        <v>69</v>
      </c>
      <c r="N40" s="25" t="s">
        <v>70</v>
      </c>
      <c r="O40" s="25">
        <v>2.1000000049E10</v>
      </c>
      <c r="P40" s="26" t="s">
        <v>351</v>
      </c>
      <c r="Q40" s="27" t="s">
        <v>352</v>
      </c>
      <c r="R40" s="28" t="s">
        <v>208</v>
      </c>
      <c r="S40" s="29">
        <f t="shared" si="1"/>
        <v>14</v>
      </c>
      <c r="T40" s="30"/>
      <c r="U40" s="30"/>
      <c r="V40" s="38">
        <v>2.0</v>
      </c>
      <c r="W40" s="29">
        <f>1+2</f>
        <v>3</v>
      </c>
      <c r="X40" s="30"/>
      <c r="Y40" s="30"/>
      <c r="Z40" s="38">
        <f>3+4+2</f>
        <v>9</v>
      </c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1"/>
      <c r="AT40" s="38" t="s">
        <v>168</v>
      </c>
      <c r="AU40" s="32">
        <f t="shared" si="2"/>
        <v>524.2966667</v>
      </c>
      <c r="AV40" s="33">
        <f t="shared" si="3"/>
        <v>681.5856667</v>
      </c>
      <c r="AW40" s="34"/>
      <c r="AX40" s="42">
        <v>496.29</v>
      </c>
      <c r="AY40" s="46" t="s">
        <v>353</v>
      </c>
      <c r="AZ40" s="34"/>
      <c r="BA40" s="30"/>
      <c r="BB40" s="30"/>
      <c r="BC40" s="35"/>
      <c r="BD40" s="42">
        <v>536.0</v>
      </c>
      <c r="BE40" s="46" t="s">
        <v>354</v>
      </c>
      <c r="BF40" s="31"/>
      <c r="BG40" s="30"/>
      <c r="BH40" s="30"/>
      <c r="BI40" s="31"/>
      <c r="BJ40" s="42">
        <v>540.6</v>
      </c>
      <c r="BK40" s="39" t="s">
        <v>355</v>
      </c>
      <c r="BL40" s="30"/>
      <c r="BM40" s="30"/>
    </row>
    <row r="41">
      <c r="A41" s="18" t="s">
        <v>36</v>
      </c>
      <c r="B41" s="18" t="s">
        <v>356</v>
      </c>
      <c r="C41" s="19" t="s">
        <v>357</v>
      </c>
      <c r="D41" s="19" t="s">
        <v>67</v>
      </c>
      <c r="E41" s="19" t="s">
        <v>68</v>
      </c>
      <c r="F41" s="20">
        <v>1.0</v>
      </c>
      <c r="G41" s="21">
        <v>1.0</v>
      </c>
      <c r="H41" s="21">
        <v>456.23</v>
      </c>
      <c r="I41" s="21">
        <v>456.23</v>
      </c>
      <c r="J41" s="45"/>
      <c r="K41" s="23">
        <v>581.09</v>
      </c>
      <c r="L41" s="24">
        <v>40.0</v>
      </c>
      <c r="M41" s="25" t="s">
        <v>69</v>
      </c>
      <c r="N41" s="25" t="s">
        <v>70</v>
      </c>
      <c r="O41" s="25">
        <v>2.1000000431E10</v>
      </c>
      <c r="P41" s="26" t="s">
        <v>358</v>
      </c>
      <c r="Q41" s="27" t="s">
        <v>359</v>
      </c>
      <c r="R41" s="28" t="s">
        <v>208</v>
      </c>
      <c r="S41" s="29">
        <f t="shared" si="1"/>
        <v>1</v>
      </c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9">
        <v>1.0</v>
      </c>
      <c r="AL41" s="30"/>
      <c r="AM41" s="30"/>
      <c r="AN41" s="30"/>
      <c r="AO41" s="30"/>
      <c r="AP41" s="30"/>
      <c r="AQ41" s="30"/>
      <c r="AR41" s="30"/>
      <c r="AS41" s="31"/>
      <c r="AT41" s="38" t="s">
        <v>168</v>
      </c>
      <c r="AU41" s="32">
        <f t="shared" si="2"/>
        <v>515.4533333</v>
      </c>
      <c r="AV41" s="33">
        <f t="shared" si="3"/>
        <v>670.0893333</v>
      </c>
      <c r="AW41" s="34"/>
      <c r="AX41" s="42">
        <v>507.42</v>
      </c>
      <c r="AY41" s="46" t="s">
        <v>360</v>
      </c>
      <c r="AZ41" s="34"/>
      <c r="BA41" s="30"/>
      <c r="BB41" s="30"/>
      <c r="BC41" s="35"/>
      <c r="BD41" s="42">
        <v>513.94</v>
      </c>
      <c r="BE41" s="39" t="s">
        <v>361</v>
      </c>
      <c r="BF41" s="31"/>
      <c r="BG41" s="30"/>
      <c r="BH41" s="30"/>
      <c r="BI41" s="31"/>
      <c r="BJ41" s="42">
        <v>525.0</v>
      </c>
      <c r="BK41" s="46" t="s">
        <v>362</v>
      </c>
      <c r="BL41" s="30"/>
      <c r="BM41" s="30"/>
    </row>
    <row r="42">
      <c r="A42" s="18" t="s">
        <v>36</v>
      </c>
      <c r="B42" s="18" t="s">
        <v>363</v>
      </c>
      <c r="C42" s="19" t="s">
        <v>364</v>
      </c>
      <c r="D42" s="19" t="s">
        <v>67</v>
      </c>
      <c r="E42" s="19" t="s">
        <v>68</v>
      </c>
      <c r="F42" s="20">
        <v>1.0</v>
      </c>
      <c r="G42" s="21">
        <v>1.0</v>
      </c>
      <c r="H42" s="21">
        <v>488.52</v>
      </c>
      <c r="I42" s="21">
        <v>488.52</v>
      </c>
      <c r="J42" s="45"/>
      <c r="K42" s="23">
        <v>491.91</v>
      </c>
      <c r="L42" s="24">
        <v>41.0</v>
      </c>
      <c r="M42" s="25" t="s">
        <v>69</v>
      </c>
      <c r="N42" s="25" t="s">
        <v>70</v>
      </c>
      <c r="O42" s="25">
        <v>2.100000051E10</v>
      </c>
      <c r="P42" s="26" t="s">
        <v>365</v>
      </c>
      <c r="Q42" s="27" t="s">
        <v>366</v>
      </c>
      <c r="R42" s="28" t="s">
        <v>208</v>
      </c>
      <c r="S42" s="29">
        <f t="shared" si="1"/>
        <v>2</v>
      </c>
      <c r="T42" s="30"/>
      <c r="U42" s="30"/>
      <c r="V42" s="30"/>
      <c r="W42" s="30"/>
      <c r="X42" s="30"/>
      <c r="Y42" s="30"/>
      <c r="Z42" s="38">
        <v>1.0</v>
      </c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29">
        <v>1.0</v>
      </c>
      <c r="AL42" s="30"/>
      <c r="AM42" s="30"/>
      <c r="AN42" s="30"/>
      <c r="AO42" s="30"/>
      <c r="AP42" s="30"/>
      <c r="AQ42" s="30"/>
      <c r="AR42" s="30"/>
      <c r="AS42" s="31"/>
      <c r="AT42" s="38" t="s">
        <v>168</v>
      </c>
      <c r="AU42" s="32">
        <f t="shared" si="2"/>
        <v>420.0933333</v>
      </c>
      <c r="AV42" s="33">
        <f t="shared" si="3"/>
        <v>546.1213333</v>
      </c>
      <c r="AW42" s="34"/>
      <c r="AX42" s="42">
        <v>413.28</v>
      </c>
      <c r="AY42" s="46" t="s">
        <v>367</v>
      </c>
      <c r="AZ42" s="34"/>
      <c r="BA42" s="30"/>
      <c r="BB42" s="30"/>
      <c r="BC42" s="35"/>
      <c r="BD42" s="42">
        <v>405.0</v>
      </c>
      <c r="BE42" s="46" t="s">
        <v>368</v>
      </c>
      <c r="BF42" s="31"/>
      <c r="BG42" s="30"/>
      <c r="BH42" s="30"/>
      <c r="BI42" s="31"/>
      <c r="BJ42" s="42">
        <v>442.0</v>
      </c>
      <c r="BK42" s="46" t="s">
        <v>369</v>
      </c>
      <c r="BL42" s="30"/>
      <c r="BM42" s="30"/>
    </row>
    <row r="43">
      <c r="A43" s="18" t="s">
        <v>22</v>
      </c>
      <c r="B43" s="18" t="s">
        <v>370</v>
      </c>
      <c r="C43" s="19" t="s">
        <v>371</v>
      </c>
      <c r="D43" s="19" t="s">
        <v>67</v>
      </c>
      <c r="E43" s="19" t="s">
        <v>68</v>
      </c>
      <c r="F43" s="20">
        <v>5.0</v>
      </c>
      <c r="G43" s="21">
        <v>5.0</v>
      </c>
      <c r="H43" s="21">
        <v>280.0</v>
      </c>
      <c r="I43" s="21">
        <v>1400.0</v>
      </c>
      <c r="J43" s="45"/>
      <c r="K43" s="23">
        <v>378.37</v>
      </c>
      <c r="L43" s="24">
        <v>42.0</v>
      </c>
      <c r="M43" s="25" t="s">
        <v>69</v>
      </c>
      <c r="N43" s="25" t="s">
        <v>70</v>
      </c>
      <c r="O43" s="25">
        <v>2.1000000069E10</v>
      </c>
      <c r="P43" s="26" t="s">
        <v>372</v>
      </c>
      <c r="Q43" s="27" t="s">
        <v>373</v>
      </c>
      <c r="R43" s="28" t="s">
        <v>208</v>
      </c>
      <c r="S43" s="29">
        <f t="shared" si="1"/>
        <v>5</v>
      </c>
      <c r="T43" s="30"/>
      <c r="U43" s="30"/>
      <c r="V43" s="30"/>
      <c r="W43" s="29">
        <v>5.0</v>
      </c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1"/>
      <c r="AT43" s="38" t="s">
        <v>168</v>
      </c>
      <c r="AU43" s="32">
        <f t="shared" si="2"/>
        <v>323.2933333</v>
      </c>
      <c r="AV43" s="33">
        <f t="shared" si="3"/>
        <v>420.2813333</v>
      </c>
      <c r="AW43" s="34"/>
      <c r="AX43" s="42">
        <v>308.62</v>
      </c>
      <c r="AY43" s="39" t="s">
        <v>374</v>
      </c>
      <c r="AZ43" s="34"/>
      <c r="BA43" s="30"/>
      <c r="BB43" s="30"/>
      <c r="BC43" s="35"/>
      <c r="BD43" s="42">
        <v>332.0</v>
      </c>
      <c r="BE43" s="46" t="s">
        <v>375</v>
      </c>
      <c r="BF43" s="31"/>
      <c r="BG43" s="30"/>
      <c r="BH43" s="30"/>
      <c r="BI43" s="31"/>
      <c r="BJ43" s="42">
        <v>329.26</v>
      </c>
      <c r="BK43" s="39" t="s">
        <v>376</v>
      </c>
      <c r="BL43" s="30"/>
      <c r="BM43" s="30"/>
    </row>
    <row r="44">
      <c r="A44" s="18" t="s">
        <v>40</v>
      </c>
      <c r="B44" s="18" t="s">
        <v>377</v>
      </c>
      <c r="C44" s="19" t="s">
        <v>378</v>
      </c>
      <c r="D44" s="19" t="s">
        <v>67</v>
      </c>
      <c r="E44" s="19" t="s">
        <v>68</v>
      </c>
      <c r="F44" s="20">
        <v>1.0</v>
      </c>
      <c r="G44" s="21">
        <v>1.0</v>
      </c>
      <c r="H44" s="21">
        <v>397.0</v>
      </c>
      <c r="I44" s="21">
        <v>397.0</v>
      </c>
      <c r="J44" s="45"/>
      <c r="K44" s="23">
        <v>1304.68</v>
      </c>
      <c r="L44" s="24">
        <v>43.0</v>
      </c>
      <c r="M44" s="25" t="s">
        <v>69</v>
      </c>
      <c r="N44" s="25" t="s">
        <v>70</v>
      </c>
      <c r="O44" s="25">
        <v>2.1000000432E10</v>
      </c>
      <c r="P44" s="26" t="s">
        <v>379</v>
      </c>
      <c r="Q44" s="27" t="s">
        <v>380</v>
      </c>
      <c r="R44" s="28" t="s">
        <v>208</v>
      </c>
      <c r="S44" s="29">
        <f t="shared" si="1"/>
        <v>2</v>
      </c>
      <c r="T44" s="30"/>
      <c r="U44" s="30"/>
      <c r="V44" s="30"/>
      <c r="W44" s="30"/>
      <c r="X44" s="30"/>
      <c r="Y44" s="30"/>
      <c r="Z44" s="38">
        <v>1.0</v>
      </c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29">
        <v>1.0</v>
      </c>
      <c r="AP44" s="30"/>
      <c r="AQ44" s="30"/>
      <c r="AR44" s="30"/>
      <c r="AS44" s="31"/>
      <c r="AT44" s="38" t="s">
        <v>168</v>
      </c>
      <c r="AU44" s="32">
        <f t="shared" si="2"/>
        <v>1285.485</v>
      </c>
      <c r="AV44" s="33">
        <f t="shared" si="3"/>
        <v>1671.1305</v>
      </c>
      <c r="AW44" s="34"/>
      <c r="AX44" s="42">
        <v>1246.84</v>
      </c>
      <c r="AY44" s="39" t="s">
        <v>381</v>
      </c>
      <c r="AZ44" s="34"/>
      <c r="BA44" s="30"/>
      <c r="BB44" s="30"/>
      <c r="BC44" s="35"/>
      <c r="BD44" s="42">
        <v>1324.13</v>
      </c>
      <c r="BE44" s="46" t="s">
        <v>382</v>
      </c>
      <c r="BF44" s="31"/>
      <c r="BG44" s="30"/>
      <c r="BH44" s="30"/>
      <c r="BI44" s="31"/>
      <c r="BJ44" s="42"/>
      <c r="BK44" s="49"/>
      <c r="BL44" s="30"/>
      <c r="BM44" s="30"/>
    </row>
    <row r="45">
      <c r="A45" s="18" t="s">
        <v>40</v>
      </c>
      <c r="B45" s="18" t="s">
        <v>383</v>
      </c>
      <c r="C45" s="19" t="s">
        <v>384</v>
      </c>
      <c r="D45" s="19" t="s">
        <v>67</v>
      </c>
      <c r="E45" s="19" t="s">
        <v>68</v>
      </c>
      <c r="F45" s="20">
        <v>1.0</v>
      </c>
      <c r="G45" s="21">
        <v>1.0</v>
      </c>
      <c r="H45" s="21">
        <v>430.0</v>
      </c>
      <c r="I45" s="21">
        <v>430.0</v>
      </c>
      <c r="J45" s="45"/>
      <c r="K45" s="23">
        <v>427.23</v>
      </c>
      <c r="L45" s="24">
        <v>44.0</v>
      </c>
      <c r="M45" s="25" t="s">
        <v>69</v>
      </c>
      <c r="N45" s="25" t="s">
        <v>70</v>
      </c>
      <c r="O45" s="25">
        <v>2.1000000435E10</v>
      </c>
      <c r="P45" s="26" t="s">
        <v>385</v>
      </c>
      <c r="Q45" s="27" t="s">
        <v>386</v>
      </c>
      <c r="R45" s="28" t="s">
        <v>208</v>
      </c>
      <c r="S45" s="29">
        <f t="shared" si="1"/>
        <v>1</v>
      </c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29">
        <v>1.0</v>
      </c>
      <c r="AP45" s="30"/>
      <c r="AQ45" s="30"/>
      <c r="AR45" s="30"/>
      <c r="AS45" s="31"/>
      <c r="AT45" s="38" t="s">
        <v>168</v>
      </c>
      <c r="AU45" s="32">
        <f t="shared" si="2"/>
        <v>403.78</v>
      </c>
      <c r="AV45" s="33">
        <f t="shared" si="3"/>
        <v>524.914</v>
      </c>
      <c r="AW45" s="34"/>
      <c r="AX45" s="42">
        <v>465.0</v>
      </c>
      <c r="AY45" s="46" t="s">
        <v>387</v>
      </c>
      <c r="AZ45" s="34"/>
      <c r="BA45" s="30"/>
      <c r="BB45" s="30"/>
      <c r="BC45" s="35"/>
      <c r="BD45" s="42">
        <v>377.0</v>
      </c>
      <c r="BE45" s="46" t="s">
        <v>388</v>
      </c>
      <c r="BF45" s="31"/>
      <c r="BG45" s="30"/>
      <c r="BH45" s="30"/>
      <c r="BI45" s="31"/>
      <c r="BJ45" s="42">
        <v>369.34</v>
      </c>
      <c r="BK45" s="46" t="s">
        <v>389</v>
      </c>
      <c r="BL45" s="30"/>
      <c r="BM45" s="30"/>
    </row>
    <row r="46">
      <c r="A46" s="18" t="s">
        <v>40</v>
      </c>
      <c r="B46" s="18" t="s">
        <v>390</v>
      </c>
      <c r="C46" s="19" t="s">
        <v>391</v>
      </c>
      <c r="D46" s="19" t="s">
        <v>67</v>
      </c>
      <c r="E46" s="19" t="s">
        <v>68</v>
      </c>
      <c r="F46" s="20">
        <v>1.0</v>
      </c>
      <c r="G46" s="21">
        <v>1.0</v>
      </c>
      <c r="H46" s="21">
        <v>563.0</v>
      </c>
      <c r="I46" s="21">
        <v>563.0</v>
      </c>
      <c r="J46" s="45"/>
      <c r="K46" s="23">
        <v>558.19</v>
      </c>
      <c r="L46" s="24">
        <v>45.0</v>
      </c>
      <c r="M46" s="25" t="s">
        <v>69</v>
      </c>
      <c r="N46" s="25" t="s">
        <v>70</v>
      </c>
      <c r="O46" s="25">
        <v>2.1000000052E10</v>
      </c>
      <c r="P46" s="26" t="s">
        <v>392</v>
      </c>
      <c r="Q46" s="27" t="s">
        <v>393</v>
      </c>
      <c r="R46" s="28" t="s">
        <v>208</v>
      </c>
      <c r="S46" s="29">
        <f t="shared" si="1"/>
        <v>1</v>
      </c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29">
        <v>1.0</v>
      </c>
      <c r="AP46" s="30"/>
      <c r="AQ46" s="30"/>
      <c r="AR46" s="30"/>
      <c r="AS46" s="31"/>
      <c r="AT46" s="38" t="s">
        <v>168</v>
      </c>
      <c r="AU46" s="32">
        <f t="shared" si="2"/>
        <v>452.7566667</v>
      </c>
      <c r="AV46" s="33">
        <f t="shared" si="3"/>
        <v>588.5836667</v>
      </c>
      <c r="AW46" s="34"/>
      <c r="AX46" s="42">
        <v>462.0</v>
      </c>
      <c r="AY46" s="39" t="s">
        <v>394</v>
      </c>
      <c r="AZ46" s="34"/>
      <c r="BA46" s="30"/>
      <c r="BB46" s="30"/>
      <c r="BC46" s="35"/>
      <c r="BD46" s="42">
        <v>433.12</v>
      </c>
      <c r="BE46" s="46" t="s">
        <v>395</v>
      </c>
      <c r="BF46" s="31"/>
      <c r="BG46" s="30"/>
      <c r="BH46" s="30"/>
      <c r="BI46" s="31"/>
      <c r="BJ46" s="42">
        <v>463.15</v>
      </c>
      <c r="BK46" s="46" t="s">
        <v>282</v>
      </c>
      <c r="BL46" s="30"/>
      <c r="BM46" s="30"/>
    </row>
    <row r="47">
      <c r="A47" s="18" t="s">
        <v>40</v>
      </c>
      <c r="B47" s="48" t="s">
        <v>396</v>
      </c>
      <c r="C47" s="19" t="s">
        <v>397</v>
      </c>
      <c r="D47" s="19" t="s">
        <v>67</v>
      </c>
      <c r="E47" s="19" t="s">
        <v>68</v>
      </c>
      <c r="F47" s="20">
        <v>1.0</v>
      </c>
      <c r="G47" s="21">
        <v>1.0</v>
      </c>
      <c r="H47" s="21">
        <v>563.0</v>
      </c>
      <c r="I47" s="21">
        <v>563.0</v>
      </c>
      <c r="J47" s="45"/>
      <c r="K47" s="23">
        <v>443.9</v>
      </c>
      <c r="L47" s="24">
        <v>46.0</v>
      </c>
      <c r="M47" s="25" t="s">
        <v>69</v>
      </c>
      <c r="N47" s="25" t="s">
        <v>70</v>
      </c>
      <c r="O47" s="25">
        <v>2.1000000436E10</v>
      </c>
      <c r="P47" s="26" t="s">
        <v>398</v>
      </c>
      <c r="Q47" s="27" t="s">
        <v>399</v>
      </c>
      <c r="R47" s="28" t="s">
        <v>208</v>
      </c>
      <c r="S47" s="29">
        <f t="shared" si="1"/>
        <v>1</v>
      </c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29">
        <v>1.0</v>
      </c>
      <c r="AP47" s="30"/>
      <c r="AQ47" s="30"/>
      <c r="AR47" s="30"/>
      <c r="AS47" s="31"/>
      <c r="AT47" s="38" t="s">
        <v>168</v>
      </c>
      <c r="AU47" s="32">
        <f t="shared" si="2"/>
        <v>408.1633333</v>
      </c>
      <c r="AV47" s="33">
        <f t="shared" si="3"/>
        <v>530.6123333</v>
      </c>
      <c r="AW47" s="34"/>
      <c r="AX47" s="42">
        <v>405.0</v>
      </c>
      <c r="AY47" s="46" t="s">
        <v>400</v>
      </c>
      <c r="AZ47" s="34"/>
      <c r="BA47" s="30"/>
      <c r="BB47" s="30"/>
      <c r="BC47" s="35"/>
      <c r="BD47" s="42">
        <v>394.26</v>
      </c>
      <c r="BE47" s="46" t="s">
        <v>401</v>
      </c>
      <c r="BF47" s="31"/>
      <c r="BG47" s="30"/>
      <c r="BH47" s="30"/>
      <c r="BI47" s="31"/>
      <c r="BJ47" s="42">
        <v>425.23</v>
      </c>
      <c r="BK47" s="46" t="s">
        <v>402</v>
      </c>
      <c r="BL47" s="30"/>
      <c r="BM47" s="30"/>
    </row>
    <row r="48">
      <c r="A48" s="18" t="s">
        <v>40</v>
      </c>
      <c r="B48" s="48" t="s">
        <v>403</v>
      </c>
      <c r="C48" s="19" t="s">
        <v>404</v>
      </c>
      <c r="D48" s="19" t="s">
        <v>67</v>
      </c>
      <c r="E48" s="19" t="s">
        <v>68</v>
      </c>
      <c r="F48" s="20">
        <v>1.0</v>
      </c>
      <c r="G48" s="21">
        <v>1.0</v>
      </c>
      <c r="H48" s="21">
        <v>355.0</v>
      </c>
      <c r="I48" s="21">
        <v>355.0</v>
      </c>
      <c r="J48" s="45"/>
      <c r="K48" s="23">
        <v>421.46</v>
      </c>
      <c r="L48" s="24">
        <v>47.0</v>
      </c>
      <c r="M48" s="25" t="s">
        <v>69</v>
      </c>
      <c r="N48" s="25" t="s">
        <v>70</v>
      </c>
      <c r="O48" s="25">
        <v>2.1000000629E10</v>
      </c>
      <c r="P48" s="26" t="s">
        <v>405</v>
      </c>
      <c r="Q48" s="27" t="s">
        <v>406</v>
      </c>
      <c r="R48" s="28" t="s">
        <v>208</v>
      </c>
      <c r="S48" s="29">
        <f t="shared" si="1"/>
        <v>1</v>
      </c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29">
        <v>1.0</v>
      </c>
      <c r="AP48" s="30"/>
      <c r="AQ48" s="30"/>
      <c r="AR48" s="30"/>
      <c r="AS48" s="31"/>
      <c r="AT48" s="38" t="s">
        <v>168</v>
      </c>
      <c r="AU48" s="32">
        <f t="shared" si="2"/>
        <v>385</v>
      </c>
      <c r="AV48" s="33">
        <f t="shared" si="3"/>
        <v>500.5</v>
      </c>
      <c r="AW48" s="34"/>
      <c r="AX48" s="42">
        <v>345.0</v>
      </c>
      <c r="AY48" s="46" t="s">
        <v>407</v>
      </c>
      <c r="AZ48" s="34"/>
      <c r="BA48" s="30"/>
      <c r="BB48" s="30"/>
      <c r="BC48" s="35"/>
      <c r="BD48" s="42">
        <v>403.44</v>
      </c>
      <c r="BE48" s="46" t="s">
        <v>408</v>
      </c>
      <c r="BF48" s="31"/>
      <c r="BG48" s="30"/>
      <c r="BH48" s="30"/>
      <c r="BI48" s="31"/>
      <c r="BJ48" s="42">
        <v>406.56</v>
      </c>
      <c r="BK48" s="46" t="s">
        <v>409</v>
      </c>
      <c r="BL48" s="30"/>
      <c r="BM48" s="30"/>
    </row>
    <row r="49">
      <c r="A49" s="18" t="s">
        <v>40</v>
      </c>
      <c r="B49" s="48" t="s">
        <v>410</v>
      </c>
      <c r="C49" s="19" t="s">
        <v>411</v>
      </c>
      <c r="D49" s="19" t="s">
        <v>67</v>
      </c>
      <c r="E49" s="19" t="s">
        <v>68</v>
      </c>
      <c r="F49" s="20">
        <v>1.0</v>
      </c>
      <c r="G49" s="21">
        <v>1.0</v>
      </c>
      <c r="H49" s="21">
        <v>424.0</v>
      </c>
      <c r="I49" s="21">
        <v>424.0</v>
      </c>
      <c r="J49" s="36"/>
      <c r="K49" s="23">
        <v>579.01</v>
      </c>
      <c r="L49" s="24">
        <v>48.0</v>
      </c>
      <c r="M49" s="25" t="s">
        <v>69</v>
      </c>
      <c r="N49" s="25" t="s">
        <v>70</v>
      </c>
      <c r="O49" s="25">
        <v>2.1000000662E10</v>
      </c>
      <c r="P49" s="26" t="s">
        <v>410</v>
      </c>
      <c r="Q49" s="27" t="s">
        <v>412</v>
      </c>
      <c r="R49" s="28" t="s">
        <v>208</v>
      </c>
      <c r="S49" s="29">
        <f t="shared" si="1"/>
        <v>1</v>
      </c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29">
        <v>1.0</v>
      </c>
      <c r="AP49" s="30"/>
      <c r="AQ49" s="30"/>
      <c r="AR49" s="30"/>
      <c r="AS49" s="31"/>
      <c r="AT49" s="38" t="s">
        <v>168</v>
      </c>
      <c r="AU49" s="32">
        <f t="shared" si="2"/>
        <v>525.3333333</v>
      </c>
      <c r="AV49" s="33">
        <f t="shared" si="3"/>
        <v>682.9333333</v>
      </c>
      <c r="AW49" s="34"/>
      <c r="AX49" s="42">
        <v>553.82</v>
      </c>
      <c r="AY49" s="46" t="s">
        <v>413</v>
      </c>
      <c r="AZ49" s="34"/>
      <c r="BA49" s="30"/>
      <c r="BB49" s="30"/>
      <c r="BC49" s="35"/>
      <c r="BD49" s="42">
        <v>551.48</v>
      </c>
      <c r="BE49" s="46" t="s">
        <v>414</v>
      </c>
      <c r="BF49" s="31"/>
      <c r="BG49" s="30"/>
      <c r="BH49" s="30"/>
      <c r="BI49" s="31"/>
      <c r="BJ49" s="42">
        <v>470.7</v>
      </c>
      <c r="BK49" s="46" t="s">
        <v>415</v>
      </c>
      <c r="BL49" s="30"/>
      <c r="BM49" s="30"/>
    </row>
    <row r="50">
      <c r="A50" s="18" t="s">
        <v>40</v>
      </c>
      <c r="B50" s="48" t="s">
        <v>416</v>
      </c>
      <c r="C50" s="19" t="s">
        <v>417</v>
      </c>
      <c r="D50" s="19" t="s">
        <v>67</v>
      </c>
      <c r="E50" s="19" t="s">
        <v>68</v>
      </c>
      <c r="F50" s="20">
        <v>1.0</v>
      </c>
      <c r="G50" s="21">
        <v>1.0</v>
      </c>
      <c r="H50" s="21">
        <v>397.0</v>
      </c>
      <c r="I50" s="21">
        <v>397.0</v>
      </c>
      <c r="J50" s="45"/>
      <c r="K50" s="23">
        <v>569.04</v>
      </c>
      <c r="L50" s="24">
        <v>49.0</v>
      </c>
      <c r="M50" s="25" t="s">
        <v>69</v>
      </c>
      <c r="N50" s="25" t="s">
        <v>70</v>
      </c>
      <c r="O50" s="25">
        <v>2.1000000437E10</v>
      </c>
      <c r="P50" s="26" t="s">
        <v>418</v>
      </c>
      <c r="Q50" s="27" t="s">
        <v>419</v>
      </c>
      <c r="R50" s="28" t="s">
        <v>208</v>
      </c>
      <c r="S50" s="29">
        <f t="shared" si="1"/>
        <v>3</v>
      </c>
      <c r="T50" s="30"/>
      <c r="U50" s="30"/>
      <c r="V50" s="30"/>
      <c r="W50" s="30"/>
      <c r="X50" s="30"/>
      <c r="Y50" s="30"/>
      <c r="Z50" s="38">
        <v>1.0</v>
      </c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29">
        <f>1+1</f>
        <v>2</v>
      </c>
      <c r="AP50" s="30"/>
      <c r="AQ50" s="30"/>
      <c r="AR50" s="30"/>
      <c r="AS50" s="31"/>
      <c r="AT50" s="38" t="s">
        <v>168</v>
      </c>
      <c r="AU50" s="32">
        <f t="shared" si="2"/>
        <v>510.8633333</v>
      </c>
      <c r="AV50" s="33">
        <f t="shared" si="3"/>
        <v>664.1223333</v>
      </c>
      <c r="AW50" s="34"/>
      <c r="AX50" s="42">
        <v>517.0</v>
      </c>
      <c r="AY50" s="46" t="s">
        <v>420</v>
      </c>
      <c r="AZ50" s="34"/>
      <c r="BA50" s="30"/>
      <c r="BB50" s="30"/>
      <c r="BC50" s="35"/>
      <c r="BD50" s="42">
        <v>540.79</v>
      </c>
      <c r="BE50" s="46" t="s">
        <v>421</v>
      </c>
      <c r="BF50" s="31"/>
      <c r="BG50" s="30"/>
      <c r="BH50" s="30"/>
      <c r="BI50" s="31"/>
      <c r="BJ50" s="42">
        <v>474.8</v>
      </c>
      <c r="BK50" s="46" t="s">
        <v>422</v>
      </c>
      <c r="BL50" s="30"/>
      <c r="BM50" s="30"/>
    </row>
    <row r="51">
      <c r="A51" s="18" t="s">
        <v>40</v>
      </c>
      <c r="B51" s="18" t="s">
        <v>423</v>
      </c>
      <c r="C51" s="19" t="s">
        <v>424</v>
      </c>
      <c r="D51" s="19" t="s">
        <v>67</v>
      </c>
      <c r="E51" s="19" t="s">
        <v>68</v>
      </c>
      <c r="F51" s="20">
        <v>1.0</v>
      </c>
      <c r="G51" s="21">
        <v>1.0</v>
      </c>
      <c r="H51" s="21">
        <v>468.0</v>
      </c>
      <c r="I51" s="21">
        <v>468.0</v>
      </c>
      <c r="J51" s="45"/>
      <c r="K51" s="23">
        <v>465.77</v>
      </c>
      <c r="L51" s="24">
        <v>50.0</v>
      </c>
      <c r="M51" s="25" t="s">
        <v>69</v>
      </c>
      <c r="N51" s="25" t="s">
        <v>70</v>
      </c>
      <c r="O51" s="25">
        <v>2.1000000438E10</v>
      </c>
      <c r="P51" s="26" t="s">
        <v>425</v>
      </c>
      <c r="Q51" s="27" t="s">
        <v>426</v>
      </c>
      <c r="R51" s="28" t="s">
        <v>208</v>
      </c>
      <c r="S51" s="29">
        <f t="shared" si="1"/>
        <v>5</v>
      </c>
      <c r="T51" s="30"/>
      <c r="U51" s="30"/>
      <c r="V51" s="30"/>
      <c r="W51" s="30"/>
      <c r="X51" s="30"/>
      <c r="Y51" s="30"/>
      <c r="Z51" s="38">
        <f>2+1</f>
        <v>3</v>
      </c>
      <c r="AA51" s="38">
        <v>1.0</v>
      </c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29">
        <v>1.0</v>
      </c>
      <c r="AP51" s="30"/>
      <c r="AQ51" s="30"/>
      <c r="AR51" s="30"/>
      <c r="AS51" s="31"/>
      <c r="AT51" s="38" t="s">
        <v>168</v>
      </c>
      <c r="AU51" s="32">
        <f t="shared" si="2"/>
        <v>378.03</v>
      </c>
      <c r="AV51" s="33">
        <f t="shared" si="3"/>
        <v>491.439</v>
      </c>
      <c r="AW51" s="34"/>
      <c r="AX51" s="42">
        <v>397.29</v>
      </c>
      <c r="AY51" s="46" t="s">
        <v>427</v>
      </c>
      <c r="AZ51" s="34"/>
      <c r="BA51" s="30"/>
      <c r="BB51" s="30"/>
      <c r="BC51" s="35"/>
      <c r="BD51" s="42">
        <v>380.33</v>
      </c>
      <c r="BE51" s="46" t="s">
        <v>428</v>
      </c>
      <c r="BF51" s="31"/>
      <c r="BG51" s="30"/>
      <c r="BH51" s="30"/>
      <c r="BI51" s="31"/>
      <c r="BJ51" s="42">
        <v>356.47</v>
      </c>
      <c r="BK51" s="46" t="s">
        <v>429</v>
      </c>
      <c r="BL51" s="30"/>
      <c r="BM51" s="30"/>
    </row>
    <row r="52">
      <c r="A52" s="18" t="s">
        <v>40</v>
      </c>
      <c r="B52" s="48" t="s">
        <v>430</v>
      </c>
      <c r="C52" s="19" t="s">
        <v>431</v>
      </c>
      <c r="D52" s="19" t="s">
        <v>67</v>
      </c>
      <c r="E52" s="19" t="s">
        <v>68</v>
      </c>
      <c r="F52" s="20">
        <v>1.0</v>
      </c>
      <c r="G52" s="21">
        <v>1.0</v>
      </c>
      <c r="H52" s="21">
        <v>563.0</v>
      </c>
      <c r="I52" s="21">
        <v>563.0</v>
      </c>
      <c r="J52" s="45"/>
      <c r="K52" s="23">
        <v>451.31</v>
      </c>
      <c r="L52" s="24">
        <v>51.0</v>
      </c>
      <c r="M52" s="25" t="s">
        <v>69</v>
      </c>
      <c r="N52" s="25" t="s">
        <v>70</v>
      </c>
      <c r="O52" s="25">
        <v>2.1000000055E10</v>
      </c>
      <c r="P52" s="26" t="s">
        <v>432</v>
      </c>
      <c r="Q52" s="27" t="s">
        <v>433</v>
      </c>
      <c r="R52" s="28" t="s">
        <v>208</v>
      </c>
      <c r="S52" s="29">
        <f t="shared" si="1"/>
        <v>4</v>
      </c>
      <c r="T52" s="30"/>
      <c r="U52" s="30"/>
      <c r="V52" s="30"/>
      <c r="W52" s="30"/>
      <c r="X52" s="30"/>
      <c r="Y52" s="30"/>
      <c r="Z52" s="38">
        <v>1.0</v>
      </c>
      <c r="AA52" s="38">
        <v>1.0</v>
      </c>
      <c r="AB52" s="30"/>
      <c r="AC52" s="30"/>
      <c r="AD52" s="30"/>
      <c r="AE52" s="30"/>
      <c r="AF52" s="30"/>
      <c r="AG52" s="30"/>
      <c r="AH52" s="30"/>
      <c r="AI52" s="30"/>
      <c r="AJ52" s="30"/>
      <c r="AK52" s="38">
        <v>1.0</v>
      </c>
      <c r="AL52" s="30"/>
      <c r="AM52" s="30"/>
      <c r="AN52" s="30"/>
      <c r="AO52" s="29">
        <v>1.0</v>
      </c>
      <c r="AP52" s="30"/>
      <c r="AQ52" s="30"/>
      <c r="AR52" s="30"/>
      <c r="AS52" s="31"/>
      <c r="AT52" s="38" t="s">
        <v>168</v>
      </c>
      <c r="AU52" s="32">
        <f t="shared" si="2"/>
        <v>426.8566667</v>
      </c>
      <c r="AV52" s="33">
        <f t="shared" si="3"/>
        <v>554.9136667</v>
      </c>
      <c r="AW52" s="34"/>
      <c r="AX52" s="42">
        <v>413.95</v>
      </c>
      <c r="AY52" s="46" t="s">
        <v>434</v>
      </c>
      <c r="AZ52" s="34"/>
      <c r="BA52" s="30"/>
      <c r="BB52" s="30"/>
      <c r="BC52" s="35"/>
      <c r="BD52" s="42">
        <v>413.56</v>
      </c>
      <c r="BE52" s="46" t="s">
        <v>435</v>
      </c>
      <c r="BF52" s="31"/>
      <c r="BG52" s="30"/>
      <c r="BH52" s="30"/>
      <c r="BI52" s="31"/>
      <c r="BJ52" s="42">
        <v>453.06</v>
      </c>
      <c r="BK52" s="46" t="s">
        <v>436</v>
      </c>
      <c r="BL52" s="30"/>
      <c r="BM52" s="30"/>
    </row>
    <row r="53">
      <c r="A53" s="18" t="s">
        <v>25</v>
      </c>
      <c r="B53" s="18" t="s">
        <v>437</v>
      </c>
      <c r="C53" s="19" t="s">
        <v>438</v>
      </c>
      <c r="D53" s="19" t="s">
        <v>67</v>
      </c>
      <c r="E53" s="19" t="s">
        <v>68</v>
      </c>
      <c r="F53" s="20">
        <v>2000.0</v>
      </c>
      <c r="G53" s="21">
        <v>4.0</v>
      </c>
      <c r="H53" s="21">
        <v>1355.0</v>
      </c>
      <c r="I53" s="21">
        <v>5420.0</v>
      </c>
      <c r="J53" s="45"/>
      <c r="K53" s="23">
        <v>524.58</v>
      </c>
      <c r="L53" s="24">
        <v>52.0</v>
      </c>
      <c r="M53" s="25" t="s">
        <v>69</v>
      </c>
      <c r="N53" s="25" t="s">
        <v>70</v>
      </c>
      <c r="O53" s="25">
        <v>2.1000000641E10</v>
      </c>
      <c r="P53" s="26" t="s">
        <v>439</v>
      </c>
      <c r="Q53" s="27" t="s">
        <v>440</v>
      </c>
      <c r="R53" s="28" t="s">
        <v>208</v>
      </c>
      <c r="S53" s="29">
        <f t="shared" si="1"/>
        <v>8</v>
      </c>
      <c r="T53" s="30"/>
      <c r="U53" s="30"/>
      <c r="V53" s="30"/>
      <c r="W53" s="30"/>
      <c r="X53" s="30"/>
      <c r="Y53" s="30"/>
      <c r="Z53" s="29">
        <f>4+2</f>
        <v>6</v>
      </c>
      <c r="AA53" s="38">
        <f>1+1</f>
        <v>2</v>
      </c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1"/>
      <c r="AT53" s="38" t="s">
        <v>168</v>
      </c>
      <c r="AU53" s="32">
        <f t="shared" si="2"/>
        <v>445.2033333</v>
      </c>
      <c r="AV53" s="33">
        <f t="shared" si="3"/>
        <v>578.7643333</v>
      </c>
      <c r="AW53" s="34"/>
      <c r="AX53" s="42">
        <v>421.37</v>
      </c>
      <c r="AY53" s="46" t="s">
        <v>441</v>
      </c>
      <c r="AZ53" s="34"/>
      <c r="BA53" s="30"/>
      <c r="BB53" s="30"/>
      <c r="BC53" s="35"/>
      <c r="BD53" s="42">
        <v>479.92</v>
      </c>
      <c r="BE53" s="39" t="s">
        <v>442</v>
      </c>
      <c r="BF53" s="31"/>
      <c r="BG53" s="30"/>
      <c r="BH53" s="30"/>
      <c r="BI53" s="31"/>
      <c r="BJ53" s="42">
        <v>434.32</v>
      </c>
      <c r="BK53" s="46" t="s">
        <v>443</v>
      </c>
      <c r="BL53" s="30"/>
      <c r="BM53" s="30"/>
    </row>
    <row r="54">
      <c r="A54" s="18" t="s">
        <v>25</v>
      </c>
      <c r="B54" s="18" t="s">
        <v>444</v>
      </c>
      <c r="C54" s="19" t="s">
        <v>445</v>
      </c>
      <c r="D54" s="19" t="s">
        <v>67</v>
      </c>
      <c r="E54" s="19" t="s">
        <v>68</v>
      </c>
      <c r="F54" s="20">
        <v>1.0</v>
      </c>
      <c r="G54" s="21">
        <v>1.0</v>
      </c>
      <c r="H54" s="21">
        <v>355.0</v>
      </c>
      <c r="I54" s="21">
        <v>355.0</v>
      </c>
      <c r="J54" s="45"/>
      <c r="K54" s="23">
        <v>512.7</v>
      </c>
      <c r="L54" s="24">
        <v>53.0</v>
      </c>
      <c r="M54" s="25" t="s">
        <v>69</v>
      </c>
      <c r="N54" s="25" t="s">
        <v>70</v>
      </c>
      <c r="O54" s="25">
        <v>2.1000000566E10</v>
      </c>
      <c r="P54" s="26" t="s">
        <v>446</v>
      </c>
      <c r="Q54" s="27" t="s">
        <v>447</v>
      </c>
      <c r="R54" s="28" t="s">
        <v>208</v>
      </c>
      <c r="S54" s="29">
        <f t="shared" si="1"/>
        <v>2</v>
      </c>
      <c r="T54" s="30"/>
      <c r="U54" s="30"/>
      <c r="V54" s="30"/>
      <c r="W54" s="30"/>
      <c r="X54" s="30"/>
      <c r="Y54" s="30"/>
      <c r="Z54" s="29">
        <v>1.0</v>
      </c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8">
        <v>1.0</v>
      </c>
      <c r="AP54" s="30"/>
      <c r="AQ54" s="30"/>
      <c r="AR54" s="30"/>
      <c r="AS54" s="31"/>
      <c r="AT54" s="38" t="s">
        <v>168</v>
      </c>
      <c r="AU54" s="32">
        <f t="shared" si="2"/>
        <v>413.5866667</v>
      </c>
      <c r="AV54" s="33">
        <f t="shared" si="3"/>
        <v>537.6626667</v>
      </c>
      <c r="AW54" s="34"/>
      <c r="AX54" s="42">
        <v>391.08</v>
      </c>
      <c r="AY54" s="46" t="s">
        <v>448</v>
      </c>
      <c r="AZ54" s="34"/>
      <c r="BA54" s="30"/>
      <c r="BB54" s="30"/>
      <c r="BC54" s="35"/>
      <c r="BD54" s="42">
        <v>424.84</v>
      </c>
      <c r="BE54" s="46" t="s">
        <v>449</v>
      </c>
      <c r="BF54" s="31"/>
      <c r="BG54" s="30"/>
      <c r="BH54" s="30"/>
      <c r="BI54" s="31"/>
      <c r="BJ54" s="42">
        <v>424.84</v>
      </c>
      <c r="BK54" s="46" t="s">
        <v>450</v>
      </c>
      <c r="BL54" s="30"/>
      <c r="BM54" s="30"/>
    </row>
    <row r="55">
      <c r="A55" s="18" t="s">
        <v>40</v>
      </c>
      <c r="B55" s="18" t="s">
        <v>451</v>
      </c>
      <c r="C55" s="19" t="s">
        <v>452</v>
      </c>
      <c r="D55" s="19" t="s">
        <v>67</v>
      </c>
      <c r="E55" s="19" t="s">
        <v>68</v>
      </c>
      <c r="F55" s="20">
        <v>1.0</v>
      </c>
      <c r="G55" s="21">
        <v>1.0</v>
      </c>
      <c r="H55" s="21">
        <v>463.0</v>
      </c>
      <c r="I55" s="21">
        <v>463.0</v>
      </c>
      <c r="J55" s="45"/>
      <c r="K55" s="23">
        <v>486.57</v>
      </c>
      <c r="L55" s="24">
        <v>54.0</v>
      </c>
      <c r="M55" s="25" t="s">
        <v>69</v>
      </c>
      <c r="N55" s="25" t="s">
        <v>70</v>
      </c>
      <c r="O55" s="25">
        <v>2.1000000469E10</v>
      </c>
      <c r="P55" s="26" t="s">
        <v>453</v>
      </c>
      <c r="Q55" s="27" t="s">
        <v>454</v>
      </c>
      <c r="R55" s="28" t="s">
        <v>208</v>
      </c>
      <c r="S55" s="29">
        <f t="shared" si="1"/>
        <v>1</v>
      </c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29">
        <v>1.0</v>
      </c>
      <c r="AP55" s="30"/>
      <c r="AQ55" s="30"/>
      <c r="AR55" s="30"/>
      <c r="AS55" s="31"/>
      <c r="AT55" s="38" t="s">
        <v>168</v>
      </c>
      <c r="AU55" s="32">
        <f t="shared" si="2"/>
        <v>390.2966667</v>
      </c>
      <c r="AV55" s="33">
        <f t="shared" si="3"/>
        <v>507.3856667</v>
      </c>
      <c r="AW55" s="34"/>
      <c r="AX55" s="42">
        <v>356.52</v>
      </c>
      <c r="AY55" s="46" t="s">
        <v>282</v>
      </c>
      <c r="AZ55" s="34"/>
      <c r="BA55" s="30"/>
      <c r="BB55" s="30"/>
      <c r="BC55" s="35"/>
      <c r="BD55" s="42">
        <v>424.87</v>
      </c>
      <c r="BE55" s="46" t="s">
        <v>455</v>
      </c>
      <c r="BF55" s="31"/>
      <c r="BG55" s="30"/>
      <c r="BH55" s="30"/>
      <c r="BI55" s="31"/>
      <c r="BJ55" s="42">
        <v>389.5</v>
      </c>
      <c r="BK55" s="46" t="s">
        <v>456</v>
      </c>
      <c r="BL55" s="30"/>
      <c r="BM55" s="30"/>
    </row>
    <row r="56">
      <c r="A56" s="18" t="s">
        <v>25</v>
      </c>
      <c r="B56" s="18" t="s">
        <v>457</v>
      </c>
      <c r="C56" s="19" t="s">
        <v>458</v>
      </c>
      <c r="D56" s="19" t="s">
        <v>67</v>
      </c>
      <c r="E56" s="19" t="s">
        <v>68</v>
      </c>
      <c r="F56" s="20">
        <v>1.0</v>
      </c>
      <c r="G56" s="21">
        <v>1.0</v>
      </c>
      <c r="H56" s="21">
        <v>521.0</v>
      </c>
      <c r="I56" s="21">
        <v>521.0</v>
      </c>
      <c r="J56" s="45"/>
      <c r="K56" s="23">
        <v>535.87</v>
      </c>
      <c r="L56" s="24">
        <v>55.0</v>
      </c>
      <c r="M56" s="25" t="s">
        <v>69</v>
      </c>
      <c r="N56" s="25" t="s">
        <v>70</v>
      </c>
      <c r="O56" s="25">
        <v>2.1000000491E10</v>
      </c>
      <c r="P56" s="26" t="s">
        <v>459</v>
      </c>
      <c r="Q56" s="27" t="s">
        <v>460</v>
      </c>
      <c r="R56" s="28" t="s">
        <v>208</v>
      </c>
      <c r="S56" s="29">
        <f t="shared" si="1"/>
        <v>1</v>
      </c>
      <c r="T56" s="30"/>
      <c r="U56" s="30"/>
      <c r="V56" s="30"/>
      <c r="W56" s="30"/>
      <c r="X56" s="30"/>
      <c r="Y56" s="30"/>
      <c r="Z56" s="29">
        <v>1.0</v>
      </c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1"/>
      <c r="AT56" s="38" t="s">
        <v>168</v>
      </c>
      <c r="AU56" s="32">
        <f t="shared" si="2"/>
        <v>450.38</v>
      </c>
      <c r="AV56" s="33">
        <f t="shared" si="3"/>
        <v>585.494</v>
      </c>
      <c r="AW56" s="34"/>
      <c r="AX56" s="42">
        <v>415.48</v>
      </c>
      <c r="AY56" s="46" t="s">
        <v>461</v>
      </c>
      <c r="AZ56" s="34"/>
      <c r="BA56" s="30"/>
      <c r="BB56" s="30"/>
      <c r="BC56" s="35"/>
      <c r="BD56" s="42">
        <v>465.66</v>
      </c>
      <c r="BE56" s="46" t="s">
        <v>462</v>
      </c>
      <c r="BF56" s="31"/>
      <c r="BG56" s="30"/>
      <c r="BH56" s="30"/>
      <c r="BI56" s="31"/>
      <c r="BJ56" s="42">
        <v>470.0</v>
      </c>
      <c r="BK56" s="46" t="s">
        <v>463</v>
      </c>
      <c r="BL56" s="30"/>
      <c r="BM56" s="30"/>
    </row>
    <row r="57">
      <c r="A57" s="18" t="s">
        <v>40</v>
      </c>
      <c r="B57" s="18" t="s">
        <v>464</v>
      </c>
      <c r="C57" s="19" t="s">
        <v>465</v>
      </c>
      <c r="D57" s="19" t="s">
        <v>67</v>
      </c>
      <c r="E57" s="19" t="s">
        <v>68</v>
      </c>
      <c r="F57" s="20">
        <v>1.0</v>
      </c>
      <c r="G57" s="21">
        <v>1.0</v>
      </c>
      <c r="H57" s="21">
        <v>480.0</v>
      </c>
      <c r="I57" s="21">
        <v>480.0</v>
      </c>
      <c r="J57" s="45"/>
      <c r="K57" s="23">
        <v>562.8</v>
      </c>
      <c r="L57" s="24">
        <v>56.0</v>
      </c>
      <c r="M57" s="25" t="s">
        <v>69</v>
      </c>
      <c r="N57" s="25" t="s">
        <v>70</v>
      </c>
      <c r="O57" s="25">
        <v>2.1000000492E10</v>
      </c>
      <c r="P57" s="26" t="s">
        <v>466</v>
      </c>
      <c r="Q57" s="27" t="s">
        <v>467</v>
      </c>
      <c r="R57" s="28" t="s">
        <v>208</v>
      </c>
      <c r="S57" s="29">
        <f t="shared" si="1"/>
        <v>2</v>
      </c>
      <c r="T57" s="30"/>
      <c r="U57" s="30"/>
      <c r="V57" s="30"/>
      <c r="W57" s="30"/>
      <c r="X57" s="30"/>
      <c r="Y57" s="30"/>
      <c r="Z57" s="38">
        <v>1.0</v>
      </c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29">
        <v>1.0</v>
      </c>
      <c r="AP57" s="30"/>
      <c r="AQ57" s="30"/>
      <c r="AR57" s="30"/>
      <c r="AS57" s="31"/>
      <c r="AT57" s="38" t="s">
        <v>168</v>
      </c>
      <c r="AU57" s="32">
        <f t="shared" si="2"/>
        <v>450.5266667</v>
      </c>
      <c r="AV57" s="33">
        <f t="shared" si="3"/>
        <v>585.6846667</v>
      </c>
      <c r="AW57" s="34"/>
      <c r="AX57" s="42">
        <v>461.28</v>
      </c>
      <c r="AY57" s="46" t="s">
        <v>468</v>
      </c>
      <c r="AZ57" s="34"/>
      <c r="BA57" s="30"/>
      <c r="BB57" s="30"/>
      <c r="BC57" s="35"/>
      <c r="BD57" s="42">
        <v>429.02</v>
      </c>
      <c r="BE57" s="46" t="s">
        <v>469</v>
      </c>
      <c r="BF57" s="31"/>
      <c r="BG57" s="30"/>
      <c r="BH57" s="30"/>
      <c r="BI57" s="31"/>
      <c r="BJ57" s="42">
        <v>461.28</v>
      </c>
      <c r="BK57" s="46" t="s">
        <v>470</v>
      </c>
      <c r="BL57" s="30"/>
      <c r="BM57" s="30"/>
    </row>
    <row r="58">
      <c r="A58" s="18" t="s">
        <v>40</v>
      </c>
      <c r="B58" s="18" t="s">
        <v>471</v>
      </c>
      <c r="C58" s="19" t="s">
        <v>472</v>
      </c>
      <c r="D58" s="19" t="s">
        <v>67</v>
      </c>
      <c r="E58" s="19" t="s">
        <v>68</v>
      </c>
      <c r="F58" s="20">
        <v>1.0</v>
      </c>
      <c r="G58" s="21">
        <v>1.0</v>
      </c>
      <c r="H58" s="21">
        <v>379.0</v>
      </c>
      <c r="I58" s="21">
        <v>379.0</v>
      </c>
      <c r="J58" s="45"/>
      <c r="K58" s="23">
        <v>482.81</v>
      </c>
      <c r="L58" s="24">
        <v>57.0</v>
      </c>
      <c r="M58" s="25" t="s">
        <v>69</v>
      </c>
      <c r="N58" s="25" t="s">
        <v>70</v>
      </c>
      <c r="O58" s="25">
        <v>2.1000000494E10</v>
      </c>
      <c r="P58" s="26" t="s">
        <v>473</v>
      </c>
      <c r="Q58" s="27" t="s">
        <v>474</v>
      </c>
      <c r="R58" s="28" t="s">
        <v>208</v>
      </c>
      <c r="S58" s="29">
        <f t="shared" si="1"/>
        <v>2</v>
      </c>
      <c r="T58" s="30"/>
      <c r="U58" s="30"/>
      <c r="V58" s="30"/>
      <c r="W58" s="30"/>
      <c r="X58" s="30"/>
      <c r="Y58" s="30"/>
      <c r="Z58" s="38">
        <v>1.0</v>
      </c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29">
        <v>1.0</v>
      </c>
      <c r="AP58" s="30"/>
      <c r="AQ58" s="30"/>
      <c r="AR58" s="30"/>
      <c r="AS58" s="31"/>
      <c r="AT58" s="38" t="s">
        <v>168</v>
      </c>
      <c r="AU58" s="32">
        <f t="shared" si="2"/>
        <v>390.5933333</v>
      </c>
      <c r="AV58" s="33">
        <f t="shared" si="3"/>
        <v>507.7713333</v>
      </c>
      <c r="AW58" s="34"/>
      <c r="AX58" s="42">
        <v>356.52</v>
      </c>
      <c r="AY58" s="46" t="s">
        <v>475</v>
      </c>
      <c r="AZ58" s="34"/>
      <c r="BA58" s="30"/>
      <c r="BB58" s="30"/>
      <c r="BC58" s="35"/>
      <c r="BD58" s="42">
        <v>409.2</v>
      </c>
      <c r="BE58" s="46" t="s">
        <v>476</v>
      </c>
      <c r="BF58" s="31"/>
      <c r="BG58" s="30"/>
      <c r="BH58" s="30"/>
      <c r="BI58" s="31"/>
      <c r="BJ58" s="42">
        <v>406.06</v>
      </c>
      <c r="BK58" s="39" t="s">
        <v>477</v>
      </c>
      <c r="BL58" s="30"/>
      <c r="BM58" s="30"/>
    </row>
    <row r="59">
      <c r="A59" s="18" t="s">
        <v>25</v>
      </c>
      <c r="B59" s="18" t="s">
        <v>478</v>
      </c>
      <c r="C59" s="19" t="s">
        <v>479</v>
      </c>
      <c r="D59" s="19" t="s">
        <v>67</v>
      </c>
      <c r="E59" s="19" t="s">
        <v>68</v>
      </c>
      <c r="F59" s="20">
        <v>1.0</v>
      </c>
      <c r="G59" s="21">
        <v>1.0</v>
      </c>
      <c r="H59" s="21">
        <v>560.0</v>
      </c>
      <c r="I59" s="21">
        <v>560.0</v>
      </c>
      <c r="J59" s="45"/>
      <c r="K59" s="23">
        <v>675.02</v>
      </c>
      <c r="L59" s="24">
        <v>58.0</v>
      </c>
      <c r="M59" s="25" t="s">
        <v>69</v>
      </c>
      <c r="N59" s="25" t="s">
        <v>70</v>
      </c>
      <c r="O59" s="25">
        <v>2.1000000511E10</v>
      </c>
      <c r="P59" s="26" t="s">
        <v>480</v>
      </c>
      <c r="Q59" s="27" t="s">
        <v>481</v>
      </c>
      <c r="R59" s="28" t="s">
        <v>208</v>
      </c>
      <c r="S59" s="29">
        <f t="shared" si="1"/>
        <v>2</v>
      </c>
      <c r="T59" s="30"/>
      <c r="U59" s="30"/>
      <c r="V59" s="30"/>
      <c r="W59" s="30"/>
      <c r="X59" s="30"/>
      <c r="Y59" s="30"/>
      <c r="Z59" s="29">
        <v>1.0</v>
      </c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8">
        <v>1.0</v>
      </c>
      <c r="AP59" s="30"/>
      <c r="AQ59" s="30"/>
      <c r="AR59" s="30"/>
      <c r="AS59" s="31"/>
      <c r="AT59" s="38" t="s">
        <v>168</v>
      </c>
      <c r="AU59" s="32">
        <f t="shared" si="2"/>
        <v>587.6033333</v>
      </c>
      <c r="AV59" s="33">
        <f t="shared" si="3"/>
        <v>763.8843333</v>
      </c>
      <c r="AW59" s="34"/>
      <c r="AX59" s="42">
        <v>551.31</v>
      </c>
      <c r="AY59" s="46" t="s">
        <v>482</v>
      </c>
      <c r="AZ59" s="34"/>
      <c r="BA59" s="30"/>
      <c r="BB59" s="30"/>
      <c r="BC59" s="35"/>
      <c r="BD59" s="42">
        <v>602.6</v>
      </c>
      <c r="BE59" s="46" t="s">
        <v>483</v>
      </c>
      <c r="BF59" s="31"/>
      <c r="BG59" s="30"/>
      <c r="BH59" s="30"/>
      <c r="BI59" s="31"/>
      <c r="BJ59" s="42">
        <v>608.9</v>
      </c>
      <c r="BK59" s="46" t="s">
        <v>484</v>
      </c>
      <c r="BL59" s="30"/>
      <c r="BM59" s="30"/>
    </row>
    <row r="60">
      <c r="A60" s="18" t="s">
        <v>40</v>
      </c>
      <c r="B60" s="18" t="s">
        <v>485</v>
      </c>
      <c r="C60" s="19" t="s">
        <v>486</v>
      </c>
      <c r="D60" s="19" t="s">
        <v>67</v>
      </c>
      <c r="E60" s="19" t="s">
        <v>68</v>
      </c>
      <c r="F60" s="20">
        <v>1.0</v>
      </c>
      <c r="G60" s="21">
        <v>1.0</v>
      </c>
      <c r="H60" s="21">
        <v>398.0</v>
      </c>
      <c r="I60" s="21">
        <v>398.0</v>
      </c>
      <c r="J60" s="45"/>
      <c r="K60" s="23">
        <v>394.89</v>
      </c>
      <c r="L60" s="24">
        <v>59.0</v>
      </c>
      <c r="M60" s="25" t="s">
        <v>69</v>
      </c>
      <c r="N60" s="25" t="s">
        <v>70</v>
      </c>
      <c r="O60" s="25">
        <v>2.100000044E10</v>
      </c>
      <c r="P60" s="26" t="s">
        <v>487</v>
      </c>
      <c r="Q60" s="27" t="s">
        <v>488</v>
      </c>
      <c r="R60" s="28" t="s">
        <v>208</v>
      </c>
      <c r="S60" s="29">
        <f t="shared" si="1"/>
        <v>1</v>
      </c>
      <c r="T60" s="30"/>
      <c r="U60" s="30"/>
      <c r="V60" s="30"/>
      <c r="W60" s="38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29">
        <v>1.0</v>
      </c>
      <c r="AP60" s="30"/>
      <c r="AQ60" s="30"/>
      <c r="AR60" s="30"/>
      <c r="AS60" s="31"/>
      <c r="AT60" s="38" t="s">
        <v>168</v>
      </c>
      <c r="AU60" s="32">
        <f t="shared" si="2"/>
        <v>372.4966667</v>
      </c>
      <c r="AV60" s="33">
        <f t="shared" si="3"/>
        <v>484.2456667</v>
      </c>
      <c r="AW60" s="34"/>
      <c r="AX60" s="42">
        <v>425.0</v>
      </c>
      <c r="AY60" s="46" t="s">
        <v>489</v>
      </c>
      <c r="AZ60" s="34"/>
      <c r="BA60" s="30"/>
      <c r="BB60" s="30"/>
      <c r="BC60" s="35"/>
      <c r="BD60" s="42">
        <v>377.26</v>
      </c>
      <c r="BE60" s="39" t="s">
        <v>490</v>
      </c>
      <c r="BF60" s="31"/>
      <c r="BG60" s="30"/>
      <c r="BH60" s="30"/>
      <c r="BI60" s="31"/>
      <c r="BJ60" s="42">
        <v>315.23</v>
      </c>
      <c r="BK60" s="46" t="s">
        <v>491</v>
      </c>
      <c r="BL60" s="30"/>
      <c r="BM60" s="30"/>
    </row>
    <row r="61">
      <c r="A61" s="18" t="s">
        <v>36</v>
      </c>
      <c r="B61" s="18" t="s">
        <v>492</v>
      </c>
      <c r="C61" s="19" t="s">
        <v>493</v>
      </c>
      <c r="D61" s="19" t="s">
        <v>67</v>
      </c>
      <c r="E61" s="19" t="s">
        <v>68</v>
      </c>
      <c r="F61" s="20">
        <v>1.0</v>
      </c>
      <c r="G61" s="21">
        <v>1.0</v>
      </c>
      <c r="H61" s="21">
        <v>2808.0</v>
      </c>
      <c r="I61" s="21">
        <v>2808.0</v>
      </c>
      <c r="J61" s="45"/>
      <c r="K61" s="23">
        <v>3092.99</v>
      </c>
      <c r="L61" s="24">
        <v>60.0</v>
      </c>
      <c r="M61" s="25" t="s">
        <v>69</v>
      </c>
      <c r="N61" s="25" t="s">
        <v>70</v>
      </c>
      <c r="O61" s="25">
        <v>2.1000000631E10</v>
      </c>
      <c r="P61" s="51" t="s">
        <v>494</v>
      </c>
      <c r="Q61" s="54" t="s">
        <v>495</v>
      </c>
      <c r="R61" s="28" t="s">
        <v>208</v>
      </c>
      <c r="S61" s="29">
        <f t="shared" si="1"/>
        <v>5</v>
      </c>
      <c r="T61" s="30"/>
      <c r="U61" s="30"/>
      <c r="V61" s="30"/>
      <c r="W61" s="30"/>
      <c r="X61" s="30"/>
      <c r="Y61" s="30"/>
      <c r="Z61" s="38">
        <v>2.0</v>
      </c>
      <c r="AA61" s="30"/>
      <c r="AB61" s="30"/>
      <c r="AC61" s="30"/>
      <c r="AD61" s="30"/>
      <c r="AE61" s="30"/>
      <c r="AF61" s="30"/>
      <c r="AG61" s="38">
        <v>2.0</v>
      </c>
      <c r="AH61" s="30"/>
      <c r="AI61" s="30"/>
      <c r="AJ61" s="30"/>
      <c r="AK61" s="29">
        <v>1.0</v>
      </c>
      <c r="AL61" s="30"/>
      <c r="AM61" s="30"/>
      <c r="AN61" s="30"/>
      <c r="AO61" s="30"/>
      <c r="AP61" s="30"/>
      <c r="AQ61" s="30"/>
      <c r="AR61" s="30"/>
      <c r="AS61" s="31"/>
      <c r="AT61" s="38" t="s">
        <v>168</v>
      </c>
      <c r="AU61" s="32">
        <f t="shared" si="2"/>
        <v>2556.836667</v>
      </c>
      <c r="AV61" s="33">
        <f t="shared" si="3"/>
        <v>3323.887667</v>
      </c>
      <c r="AW61" s="34"/>
      <c r="AX61" s="42">
        <v>2800.0</v>
      </c>
      <c r="AY61" s="46" t="s">
        <v>496</v>
      </c>
      <c r="AZ61" s="34"/>
      <c r="BA61" s="30"/>
      <c r="BB61" s="30"/>
      <c r="BC61" s="35"/>
      <c r="BD61" s="42">
        <v>2247.1</v>
      </c>
      <c r="BE61" s="39" t="s">
        <v>497</v>
      </c>
      <c r="BF61" s="31"/>
      <c r="BG61" s="30"/>
      <c r="BH61" s="30"/>
      <c r="BI61" s="31"/>
      <c r="BJ61" s="42">
        <v>2623.41</v>
      </c>
      <c r="BK61" s="46" t="s">
        <v>498</v>
      </c>
      <c r="BL61" s="30"/>
      <c r="BM61" s="30"/>
    </row>
    <row r="62">
      <c r="A62" s="18" t="s">
        <v>25</v>
      </c>
      <c r="B62" s="18" t="s">
        <v>499</v>
      </c>
      <c r="C62" s="19" t="s">
        <v>500</v>
      </c>
      <c r="D62" s="19" t="s">
        <v>67</v>
      </c>
      <c r="E62" s="19" t="s">
        <v>68</v>
      </c>
      <c r="F62" s="20">
        <v>1.0</v>
      </c>
      <c r="G62" s="21">
        <v>1.0</v>
      </c>
      <c r="H62" s="21">
        <v>195.0</v>
      </c>
      <c r="I62" s="21">
        <v>195.0</v>
      </c>
      <c r="J62" s="45"/>
      <c r="K62" s="23">
        <v>338.33</v>
      </c>
      <c r="L62" s="24">
        <v>61.0</v>
      </c>
      <c r="M62" s="25" t="s">
        <v>69</v>
      </c>
      <c r="N62" s="25" t="s">
        <v>70</v>
      </c>
      <c r="O62" s="25">
        <v>2.1000000512E10</v>
      </c>
      <c r="P62" s="26" t="s">
        <v>501</v>
      </c>
      <c r="Q62" s="27" t="s">
        <v>502</v>
      </c>
      <c r="R62" s="28" t="s">
        <v>208</v>
      </c>
      <c r="S62" s="29">
        <f t="shared" si="1"/>
        <v>1</v>
      </c>
      <c r="T62" s="30"/>
      <c r="U62" s="30"/>
      <c r="V62" s="30"/>
      <c r="W62" s="30"/>
      <c r="X62" s="30"/>
      <c r="Y62" s="30"/>
      <c r="Z62" s="29">
        <v>1.0</v>
      </c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1"/>
      <c r="AT62" s="38" t="s">
        <v>168</v>
      </c>
      <c r="AU62" s="32">
        <f t="shared" si="2"/>
        <v>277.38</v>
      </c>
      <c r="AV62" s="33">
        <f t="shared" si="3"/>
        <v>360.594</v>
      </c>
      <c r="AW62" s="34"/>
      <c r="AX62" s="42">
        <v>292.3</v>
      </c>
      <c r="AY62" s="46" t="s">
        <v>503</v>
      </c>
      <c r="AZ62" s="34"/>
      <c r="BA62" s="30"/>
      <c r="BB62" s="30"/>
      <c r="BC62" s="35"/>
      <c r="BD62" s="42">
        <v>273.36</v>
      </c>
      <c r="BE62" s="46" t="s">
        <v>504</v>
      </c>
      <c r="BF62" s="31"/>
      <c r="BG62" s="30"/>
      <c r="BH62" s="30"/>
      <c r="BI62" s="31"/>
      <c r="BJ62" s="42">
        <v>266.48</v>
      </c>
      <c r="BK62" s="46" t="s">
        <v>505</v>
      </c>
      <c r="BL62" s="30"/>
      <c r="BM62" s="30"/>
    </row>
    <row r="63">
      <c r="A63" s="55" t="s">
        <v>26</v>
      </c>
      <c r="B63" s="55" t="s">
        <v>506</v>
      </c>
      <c r="C63" s="56" t="s">
        <v>507</v>
      </c>
      <c r="D63" s="56" t="s">
        <v>67</v>
      </c>
      <c r="E63" s="56" t="s">
        <v>68</v>
      </c>
      <c r="F63" s="57">
        <v>1.0</v>
      </c>
      <c r="G63" s="58">
        <v>1.0</v>
      </c>
      <c r="H63" s="58">
        <v>419.81</v>
      </c>
      <c r="I63" s="58">
        <v>419.81</v>
      </c>
      <c r="J63" s="59" t="s">
        <v>508</v>
      </c>
      <c r="K63" s="60">
        <v>162.45</v>
      </c>
      <c r="L63" s="61">
        <v>62.0</v>
      </c>
      <c r="M63" s="62" t="s">
        <v>69</v>
      </c>
      <c r="N63" s="62" t="s">
        <v>70</v>
      </c>
      <c r="O63" s="62">
        <v>2.1000000545E10</v>
      </c>
      <c r="P63" s="63" t="s">
        <v>509</v>
      </c>
      <c r="Q63" s="64" t="s">
        <v>510</v>
      </c>
      <c r="R63" s="65" t="s">
        <v>208</v>
      </c>
      <c r="S63" s="29">
        <f t="shared" si="1"/>
        <v>11</v>
      </c>
      <c r="T63" s="66"/>
      <c r="U63" s="66"/>
      <c r="V63" s="66"/>
      <c r="W63" s="66"/>
      <c r="X63" s="66"/>
      <c r="Y63" s="66"/>
      <c r="Z63" s="67">
        <v>10.0</v>
      </c>
      <c r="AA63" s="68">
        <v>1.0</v>
      </c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9"/>
      <c r="AT63" s="38" t="s">
        <v>168</v>
      </c>
      <c r="AU63" s="70">
        <f t="shared" si="2"/>
        <v>143.04</v>
      </c>
      <c r="AV63" s="71">
        <f t="shared" si="3"/>
        <v>185.952</v>
      </c>
      <c r="AW63" s="72"/>
      <c r="AX63" s="73">
        <v>126.75</v>
      </c>
      <c r="AY63" s="74" t="s">
        <v>511</v>
      </c>
      <c r="AZ63" s="72"/>
      <c r="BA63" s="66"/>
      <c r="BB63" s="66"/>
      <c r="BC63" s="75"/>
      <c r="BD63" s="73">
        <v>151.17</v>
      </c>
      <c r="BE63" s="76" t="s">
        <v>512</v>
      </c>
      <c r="BF63" s="69"/>
      <c r="BG63" s="66"/>
      <c r="BH63" s="66"/>
      <c r="BI63" s="69"/>
      <c r="BJ63" s="73">
        <v>151.2</v>
      </c>
      <c r="BK63" s="77" t="s">
        <v>513</v>
      </c>
      <c r="BL63" s="66"/>
      <c r="BM63" s="66"/>
    </row>
    <row r="64">
      <c r="A64" s="18" t="s">
        <v>20</v>
      </c>
      <c r="B64" s="18" t="s">
        <v>514</v>
      </c>
      <c r="C64" s="19" t="s">
        <v>515</v>
      </c>
      <c r="D64" s="19" t="s">
        <v>67</v>
      </c>
      <c r="E64" s="19" t="s">
        <v>68</v>
      </c>
      <c r="F64" s="20">
        <v>1.0</v>
      </c>
      <c r="G64" s="21">
        <v>1.0</v>
      </c>
      <c r="H64" s="21">
        <v>30.0</v>
      </c>
      <c r="I64" s="21">
        <v>30.0</v>
      </c>
      <c r="J64" s="45"/>
      <c r="K64" s="23">
        <v>22.73</v>
      </c>
      <c r="L64" s="24">
        <v>63.0</v>
      </c>
      <c r="M64" s="25" t="s">
        <v>69</v>
      </c>
      <c r="N64" s="25" t="s">
        <v>70</v>
      </c>
      <c r="O64" s="25">
        <v>2.1000000127E10</v>
      </c>
      <c r="P64" s="26" t="s">
        <v>516</v>
      </c>
      <c r="Q64" s="27" t="s">
        <v>517</v>
      </c>
      <c r="R64" s="28" t="s">
        <v>208</v>
      </c>
      <c r="S64" s="29">
        <f t="shared" si="1"/>
        <v>8</v>
      </c>
      <c r="T64" s="30"/>
      <c r="U64" s="28">
        <v>1.0</v>
      </c>
      <c r="V64" s="30"/>
      <c r="W64" s="30"/>
      <c r="X64" s="30"/>
      <c r="Y64" s="38">
        <v>2.0</v>
      </c>
      <c r="Z64" s="38">
        <v>2.0</v>
      </c>
      <c r="AA64" s="30"/>
      <c r="AB64" s="30"/>
      <c r="AC64" s="30"/>
      <c r="AD64" s="30"/>
      <c r="AE64" s="30"/>
      <c r="AF64" s="30"/>
      <c r="AG64" s="30"/>
      <c r="AH64" s="30"/>
      <c r="AI64" s="38">
        <v>2.0</v>
      </c>
      <c r="AJ64" s="30"/>
      <c r="AK64" s="30"/>
      <c r="AL64" s="30"/>
      <c r="AM64" s="30"/>
      <c r="AN64" s="30"/>
      <c r="AO64" s="30"/>
      <c r="AP64" s="30"/>
      <c r="AQ64" s="38">
        <v>1.0</v>
      </c>
      <c r="AR64" s="30"/>
      <c r="AS64" s="31"/>
      <c r="AT64" s="38" t="s">
        <v>168</v>
      </c>
      <c r="AU64" s="32">
        <f t="shared" si="2"/>
        <v>19.93</v>
      </c>
      <c r="AV64" s="33">
        <f t="shared" si="3"/>
        <v>25.909</v>
      </c>
      <c r="AW64" s="37"/>
      <c r="AX64" s="42">
        <v>21.63</v>
      </c>
      <c r="AY64" s="46" t="s">
        <v>518</v>
      </c>
      <c r="AZ64" s="34"/>
      <c r="BA64" s="30"/>
      <c r="BB64" s="30"/>
      <c r="BC64" s="35"/>
      <c r="BD64" s="42">
        <v>20.0</v>
      </c>
      <c r="BE64" s="46" t="s">
        <v>519</v>
      </c>
      <c r="BF64" s="31"/>
      <c r="BG64" s="30"/>
      <c r="BH64" s="30"/>
      <c r="BI64" s="31"/>
      <c r="BJ64" s="42">
        <v>18.16</v>
      </c>
      <c r="BK64" s="46" t="s">
        <v>520</v>
      </c>
      <c r="BL64" s="30"/>
      <c r="BM64" s="30"/>
    </row>
    <row r="65">
      <c r="A65" s="18" t="s">
        <v>32</v>
      </c>
      <c r="B65" s="18" t="s">
        <v>521</v>
      </c>
      <c r="C65" s="19" t="s">
        <v>522</v>
      </c>
      <c r="D65" s="19" t="s">
        <v>67</v>
      </c>
      <c r="E65" s="19" t="s">
        <v>68</v>
      </c>
      <c r="F65" s="20">
        <v>2.0</v>
      </c>
      <c r="G65" s="21">
        <v>2.0</v>
      </c>
      <c r="H65" s="21">
        <v>1600.0</v>
      </c>
      <c r="I65" s="21">
        <v>3200.0</v>
      </c>
      <c r="J65" s="36" t="s">
        <v>523</v>
      </c>
      <c r="K65" s="23">
        <v>4260.25</v>
      </c>
      <c r="L65" s="24">
        <v>64.0</v>
      </c>
      <c r="M65" s="25" t="s">
        <v>69</v>
      </c>
      <c r="N65" s="25" t="s">
        <v>70</v>
      </c>
      <c r="O65" s="25">
        <v>2.1000000441E10</v>
      </c>
      <c r="P65" s="26" t="s">
        <v>524</v>
      </c>
      <c r="Q65" s="27" t="s">
        <v>525</v>
      </c>
      <c r="R65" s="28" t="s">
        <v>208</v>
      </c>
      <c r="S65" s="29">
        <f t="shared" si="1"/>
        <v>2</v>
      </c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29"/>
      <c r="AG65" s="29">
        <v>2.0</v>
      </c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1"/>
      <c r="AT65" s="38" t="s">
        <v>168</v>
      </c>
      <c r="AU65" s="32">
        <f t="shared" si="2"/>
        <v>3845.67</v>
      </c>
      <c r="AV65" s="33">
        <f t="shared" si="3"/>
        <v>4999.371</v>
      </c>
      <c r="AW65" s="34"/>
      <c r="AX65" s="42">
        <v>3845.67</v>
      </c>
      <c r="AY65" s="46" t="s">
        <v>526</v>
      </c>
      <c r="AZ65" s="34"/>
      <c r="BA65" s="30"/>
      <c r="BB65" s="30"/>
      <c r="BC65" s="35"/>
      <c r="BD65" s="42"/>
      <c r="BE65" s="31"/>
      <c r="BF65" s="31"/>
      <c r="BG65" s="30"/>
      <c r="BH65" s="30"/>
      <c r="BI65" s="31"/>
      <c r="BJ65" s="32"/>
      <c r="BK65" s="31"/>
      <c r="BL65" s="30"/>
      <c r="BM65" s="30"/>
    </row>
    <row r="66">
      <c r="A66" s="18" t="s">
        <v>25</v>
      </c>
      <c r="B66" s="18" t="s">
        <v>527</v>
      </c>
      <c r="C66" s="19" t="s">
        <v>528</v>
      </c>
      <c r="D66" s="19" t="s">
        <v>67</v>
      </c>
      <c r="E66" s="19" t="s">
        <v>68</v>
      </c>
      <c r="F66" s="20">
        <v>2.0</v>
      </c>
      <c r="G66" s="21">
        <v>2.0</v>
      </c>
      <c r="H66" s="21">
        <v>47.0</v>
      </c>
      <c r="I66" s="21">
        <v>94.0</v>
      </c>
      <c r="J66" s="45"/>
      <c r="K66" s="23">
        <v>112.36</v>
      </c>
      <c r="L66" s="24">
        <v>65.0</v>
      </c>
      <c r="M66" s="25" t="s">
        <v>69</v>
      </c>
      <c r="N66" s="25" t="s">
        <v>70</v>
      </c>
      <c r="O66" s="25">
        <v>2.1000000048E10</v>
      </c>
      <c r="P66" s="26" t="s">
        <v>529</v>
      </c>
      <c r="Q66" s="27" t="s">
        <v>530</v>
      </c>
      <c r="R66" s="28" t="s">
        <v>124</v>
      </c>
      <c r="S66" s="29">
        <f t="shared" si="1"/>
        <v>2</v>
      </c>
      <c r="T66" s="30"/>
      <c r="U66" s="30"/>
      <c r="V66" s="30"/>
      <c r="W66" s="30"/>
      <c r="X66" s="30"/>
      <c r="Y66" s="30"/>
      <c r="Z66" s="29">
        <v>2.0</v>
      </c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1"/>
      <c r="AT66" s="38" t="s">
        <v>168</v>
      </c>
      <c r="AU66" s="32">
        <f t="shared" si="2"/>
        <v>104.335</v>
      </c>
      <c r="AV66" s="33">
        <f t="shared" si="3"/>
        <v>135.6355</v>
      </c>
      <c r="AW66" s="34"/>
      <c r="AX66" s="42">
        <v>64.67</v>
      </c>
      <c r="AY66" s="46" t="s">
        <v>531</v>
      </c>
      <c r="AZ66" s="34"/>
      <c r="BA66" s="30"/>
      <c r="BB66" s="30"/>
      <c r="BC66" s="35"/>
      <c r="BD66" s="42">
        <v>144.0</v>
      </c>
      <c r="BE66" s="46" t="s">
        <v>532</v>
      </c>
      <c r="BF66" s="31"/>
      <c r="BG66" s="30"/>
      <c r="BH66" s="30"/>
      <c r="BI66" s="31"/>
      <c r="BJ66" s="32"/>
      <c r="BK66" s="31"/>
      <c r="BL66" s="30"/>
      <c r="BM66" s="30"/>
    </row>
    <row r="67">
      <c r="A67" s="18" t="s">
        <v>29</v>
      </c>
      <c r="B67" s="48" t="s">
        <v>533</v>
      </c>
      <c r="C67" s="19" t="s">
        <v>534</v>
      </c>
      <c r="D67" s="19" t="s">
        <v>535</v>
      </c>
      <c r="E67" s="19" t="s">
        <v>68</v>
      </c>
      <c r="F67" s="20">
        <v>80.0</v>
      </c>
      <c r="G67" s="21">
        <v>6.0</v>
      </c>
      <c r="H67" s="21">
        <v>28.35</v>
      </c>
      <c r="I67" s="21"/>
      <c r="J67" s="45"/>
      <c r="K67" s="23">
        <v>35.22</v>
      </c>
      <c r="L67" s="24">
        <v>66.0</v>
      </c>
      <c r="M67" s="25" t="s">
        <v>69</v>
      </c>
      <c r="N67" s="25" t="s">
        <v>70</v>
      </c>
      <c r="O67" s="25">
        <v>2.1000000084E10</v>
      </c>
      <c r="P67" s="26" t="s">
        <v>536</v>
      </c>
      <c r="Q67" s="27" t="s">
        <v>537</v>
      </c>
      <c r="R67" s="28" t="s">
        <v>124</v>
      </c>
      <c r="S67" s="29">
        <f t="shared" si="1"/>
        <v>301</v>
      </c>
      <c r="T67" s="38">
        <v>10.0</v>
      </c>
      <c r="U67" s="38">
        <v>10.0</v>
      </c>
      <c r="V67" s="38">
        <v>17.0</v>
      </c>
      <c r="W67" s="38">
        <v>30.0</v>
      </c>
      <c r="X67" s="30"/>
      <c r="Y67" s="30"/>
      <c r="Z67" s="29">
        <f>53+53+10+10</f>
        <v>126</v>
      </c>
      <c r="AA67" s="30"/>
      <c r="AB67" s="30"/>
      <c r="AC67" s="38">
        <v>20.0</v>
      </c>
      <c r="AD67" s="30">
        <v>6.0</v>
      </c>
      <c r="AE67" s="30"/>
      <c r="AF67" s="38"/>
      <c r="AG67" s="38">
        <v>12.0</v>
      </c>
      <c r="AH67" s="30"/>
      <c r="AI67" s="30"/>
      <c r="AJ67" s="30"/>
      <c r="AK67" s="38">
        <v>10.0</v>
      </c>
      <c r="AL67" s="30"/>
      <c r="AM67" s="30"/>
      <c r="AN67" s="38">
        <v>10.0</v>
      </c>
      <c r="AO67" s="38">
        <v>20.0</v>
      </c>
      <c r="AP67" s="30"/>
      <c r="AQ67" s="30"/>
      <c r="AR67" s="30">
        <f>15+15</f>
        <v>30</v>
      </c>
      <c r="AS67" s="49"/>
      <c r="AT67" s="38" t="s">
        <v>168</v>
      </c>
      <c r="AU67" s="32">
        <f t="shared" si="2"/>
        <v>27.82</v>
      </c>
      <c r="AV67" s="33">
        <f t="shared" si="3"/>
        <v>36.166</v>
      </c>
      <c r="AW67" s="37"/>
      <c r="AX67" s="42">
        <v>23.24</v>
      </c>
      <c r="AY67" s="46" t="s">
        <v>538</v>
      </c>
      <c r="AZ67" s="37"/>
      <c r="BA67" s="38"/>
      <c r="BB67" s="38"/>
      <c r="BC67" s="41"/>
      <c r="BD67" s="42">
        <v>32.9</v>
      </c>
      <c r="BE67" s="46" t="s">
        <v>539</v>
      </c>
      <c r="BF67" s="49"/>
      <c r="BG67" s="38"/>
      <c r="BH67" s="38"/>
      <c r="BI67" s="49"/>
      <c r="BJ67" s="42">
        <v>27.32</v>
      </c>
      <c r="BK67" s="46" t="s">
        <v>540</v>
      </c>
      <c r="BL67" s="38"/>
      <c r="BM67" s="38"/>
    </row>
    <row r="68">
      <c r="A68" s="18" t="s">
        <v>41</v>
      </c>
      <c r="B68" s="48" t="s">
        <v>541</v>
      </c>
      <c r="C68" s="19" t="s">
        <v>542</v>
      </c>
      <c r="D68" s="19" t="s">
        <v>67</v>
      </c>
      <c r="E68" s="19" t="s">
        <v>68</v>
      </c>
      <c r="F68" s="20">
        <v>5.0</v>
      </c>
      <c r="G68" s="21">
        <v>5.0</v>
      </c>
      <c r="H68" s="21">
        <v>6.9</v>
      </c>
      <c r="I68" s="21">
        <v>34.5</v>
      </c>
      <c r="J68" s="45"/>
      <c r="K68" s="23">
        <v>19.9</v>
      </c>
      <c r="L68" s="24">
        <v>67.0</v>
      </c>
      <c r="M68" s="25" t="s">
        <v>69</v>
      </c>
      <c r="N68" s="25" t="s">
        <v>70</v>
      </c>
      <c r="O68" s="25">
        <v>2.1000000083E10</v>
      </c>
      <c r="P68" s="26" t="s">
        <v>543</v>
      </c>
      <c r="Q68" s="27" t="s">
        <v>544</v>
      </c>
      <c r="R68" s="28" t="s">
        <v>124</v>
      </c>
      <c r="S68" s="29">
        <f t="shared" si="1"/>
        <v>79</v>
      </c>
      <c r="T68" s="30"/>
      <c r="U68" s="30"/>
      <c r="V68" s="30"/>
      <c r="W68" s="38">
        <v>10.0</v>
      </c>
      <c r="X68" s="30"/>
      <c r="Y68" s="30"/>
      <c r="Z68" s="38">
        <f>52+12</f>
        <v>64</v>
      </c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29">
        <v>5.0</v>
      </c>
      <c r="AQ68" s="30"/>
      <c r="AR68" s="30"/>
      <c r="AS68" s="31"/>
      <c r="AT68" s="38" t="s">
        <v>168</v>
      </c>
      <c r="AU68" s="32">
        <f t="shared" si="2"/>
        <v>19.17333333</v>
      </c>
      <c r="AV68" s="33">
        <f t="shared" si="3"/>
        <v>24.92533333</v>
      </c>
      <c r="AW68" s="34"/>
      <c r="AX68" s="42">
        <v>20.63</v>
      </c>
      <c r="AY68" s="46" t="s">
        <v>545</v>
      </c>
      <c r="AZ68" s="34"/>
      <c r="BA68" s="30"/>
      <c r="BB68" s="30"/>
      <c r="BC68" s="35"/>
      <c r="BD68" s="42">
        <v>19.0</v>
      </c>
      <c r="BE68" s="46" t="s">
        <v>546</v>
      </c>
      <c r="BF68" s="31"/>
      <c r="BG68" s="30"/>
      <c r="BH68" s="30"/>
      <c r="BI68" s="31"/>
      <c r="BJ68" s="42">
        <v>17.89</v>
      </c>
      <c r="BK68" s="46" t="s">
        <v>547</v>
      </c>
      <c r="BL68" s="30"/>
      <c r="BM68" s="30"/>
    </row>
    <row r="69">
      <c r="A69" s="18" t="s">
        <v>27</v>
      </c>
      <c r="B69" s="18" t="s">
        <v>548</v>
      </c>
      <c r="C69" s="19" t="s">
        <v>549</v>
      </c>
      <c r="D69" s="19" t="s">
        <v>67</v>
      </c>
      <c r="E69" s="19" t="s">
        <v>68</v>
      </c>
      <c r="F69" s="20">
        <v>11.0</v>
      </c>
      <c r="G69" s="21">
        <v>11.0</v>
      </c>
      <c r="H69" s="21">
        <v>55.19</v>
      </c>
      <c r="I69" s="21">
        <v>607.09</v>
      </c>
      <c r="J69" s="45"/>
      <c r="K69" s="78">
        <v>125.34</v>
      </c>
      <c r="L69" s="24">
        <v>68.0</v>
      </c>
      <c r="M69" s="25" t="s">
        <v>69</v>
      </c>
      <c r="N69" s="25" t="s">
        <v>70</v>
      </c>
      <c r="O69" s="25">
        <v>2.1000000643E10</v>
      </c>
      <c r="P69" s="26" t="s">
        <v>550</v>
      </c>
      <c r="Q69" s="27" t="s">
        <v>551</v>
      </c>
      <c r="R69" s="28" t="s">
        <v>124</v>
      </c>
      <c r="S69" s="29">
        <f t="shared" si="1"/>
        <v>11</v>
      </c>
      <c r="T69" s="30"/>
      <c r="U69" s="30"/>
      <c r="V69" s="30"/>
      <c r="W69" s="30"/>
      <c r="X69" s="30"/>
      <c r="Y69" s="30"/>
      <c r="Z69" s="30"/>
      <c r="AA69" s="30"/>
      <c r="AB69" s="29">
        <v>11.0</v>
      </c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1"/>
      <c r="AT69" s="38" t="s">
        <v>168</v>
      </c>
      <c r="AU69" s="32">
        <f t="shared" si="2"/>
        <v>107.71</v>
      </c>
      <c r="AV69" s="33">
        <f t="shared" si="3"/>
        <v>140.023</v>
      </c>
      <c r="AW69" s="34"/>
      <c r="AX69" s="42">
        <v>101.85</v>
      </c>
      <c r="AY69" s="39" t="s">
        <v>552</v>
      </c>
      <c r="AZ69" s="34"/>
      <c r="BA69" s="30"/>
      <c r="BB69" s="30"/>
      <c r="BC69" s="35"/>
      <c r="BD69" s="42">
        <v>103.2</v>
      </c>
      <c r="BE69" s="39" t="s">
        <v>553</v>
      </c>
      <c r="BF69" s="31"/>
      <c r="BG69" s="30"/>
      <c r="BH69" s="30"/>
      <c r="BI69" s="31"/>
      <c r="BJ69" s="42">
        <v>118.08</v>
      </c>
      <c r="BK69" s="39" t="s">
        <v>554</v>
      </c>
      <c r="BL69" s="30"/>
      <c r="BM69" s="30"/>
    </row>
    <row r="70">
      <c r="A70" s="18" t="s">
        <v>25</v>
      </c>
      <c r="B70" s="18" t="s">
        <v>555</v>
      </c>
      <c r="C70" s="19" t="s">
        <v>556</v>
      </c>
      <c r="D70" s="19" t="s">
        <v>67</v>
      </c>
      <c r="E70" s="19" t="s">
        <v>68</v>
      </c>
      <c r="F70" s="20">
        <v>1.0</v>
      </c>
      <c r="G70" s="21">
        <v>1.0</v>
      </c>
      <c r="H70" s="21">
        <v>17.0</v>
      </c>
      <c r="I70" s="21">
        <v>17.0</v>
      </c>
      <c r="J70" s="45"/>
      <c r="K70" s="23">
        <v>78.09</v>
      </c>
      <c r="L70" s="24">
        <v>69.0</v>
      </c>
      <c r="M70" s="25" t="s">
        <v>69</v>
      </c>
      <c r="N70" s="25" t="s">
        <v>70</v>
      </c>
      <c r="O70" s="25">
        <v>2.1000000584E10</v>
      </c>
      <c r="P70" s="26" t="s">
        <v>557</v>
      </c>
      <c r="Q70" s="27" t="s">
        <v>558</v>
      </c>
      <c r="R70" s="28" t="s">
        <v>124</v>
      </c>
      <c r="S70" s="29">
        <f t="shared" si="1"/>
        <v>7</v>
      </c>
      <c r="T70" s="30"/>
      <c r="U70" s="30"/>
      <c r="V70" s="30"/>
      <c r="W70" s="30"/>
      <c r="X70" s="30"/>
      <c r="Y70" s="30"/>
      <c r="Z70" s="29">
        <v>1.0</v>
      </c>
      <c r="AA70" s="30"/>
      <c r="AB70" s="30"/>
      <c r="AC70" s="30"/>
      <c r="AD70" s="38">
        <v>6.0</v>
      </c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1"/>
      <c r="AT70" s="38" t="s">
        <v>168</v>
      </c>
      <c r="AU70" s="32">
        <f t="shared" si="2"/>
        <v>65.30666667</v>
      </c>
      <c r="AV70" s="33">
        <f t="shared" si="3"/>
        <v>84.89866667</v>
      </c>
      <c r="AW70" s="34"/>
      <c r="AX70" s="42">
        <v>75.0</v>
      </c>
      <c r="AY70" s="46" t="s">
        <v>559</v>
      </c>
      <c r="AZ70" s="34"/>
      <c r="BA70" s="30"/>
      <c r="BB70" s="30"/>
      <c r="BC70" s="35"/>
      <c r="BD70" s="42">
        <v>63.98</v>
      </c>
      <c r="BE70" s="39" t="s">
        <v>560</v>
      </c>
      <c r="BF70" s="31"/>
      <c r="BG70" s="30"/>
      <c r="BH70" s="30"/>
      <c r="BI70" s="31"/>
      <c r="BJ70" s="42">
        <v>56.94</v>
      </c>
      <c r="BK70" s="39" t="s">
        <v>561</v>
      </c>
      <c r="BL70" s="30"/>
      <c r="BM70" s="30"/>
    </row>
    <row r="71">
      <c r="A71" s="18" t="s">
        <v>25</v>
      </c>
      <c r="B71" s="18" t="s">
        <v>562</v>
      </c>
      <c r="C71" s="19" t="s">
        <v>563</v>
      </c>
      <c r="D71" s="19" t="s">
        <v>67</v>
      </c>
      <c r="E71" s="19" t="s">
        <v>68</v>
      </c>
      <c r="F71" s="20">
        <v>15.0</v>
      </c>
      <c r="G71" s="21">
        <v>15.0</v>
      </c>
      <c r="H71" s="21">
        <v>173.0</v>
      </c>
      <c r="I71" s="21">
        <v>2595.0</v>
      </c>
      <c r="J71" s="45"/>
      <c r="K71" s="23">
        <v>179.11</v>
      </c>
      <c r="L71" s="24">
        <v>70.0</v>
      </c>
      <c r="M71" s="25" t="s">
        <v>69</v>
      </c>
      <c r="N71" s="25" t="s">
        <v>70</v>
      </c>
      <c r="O71" s="25">
        <v>2.1000000092E10</v>
      </c>
      <c r="P71" s="26" t="s">
        <v>564</v>
      </c>
      <c r="Q71" s="27" t="s">
        <v>565</v>
      </c>
      <c r="R71" s="28" t="s">
        <v>124</v>
      </c>
      <c r="S71" s="29">
        <f t="shared" si="1"/>
        <v>16</v>
      </c>
      <c r="T71" s="30"/>
      <c r="U71" s="30"/>
      <c r="V71" s="30"/>
      <c r="W71" s="30"/>
      <c r="X71" s="30"/>
      <c r="Y71" s="30"/>
      <c r="Z71" s="29">
        <v>15.0</v>
      </c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8">
        <v>1.0</v>
      </c>
      <c r="AO71" s="30"/>
      <c r="AP71" s="30"/>
      <c r="AQ71" s="30"/>
      <c r="AR71" s="30"/>
      <c r="AS71" s="31"/>
      <c r="AT71" s="38" t="s">
        <v>168</v>
      </c>
      <c r="AU71" s="32">
        <f t="shared" si="2"/>
        <v>161.21</v>
      </c>
      <c r="AV71" s="33">
        <f t="shared" si="3"/>
        <v>209.573</v>
      </c>
      <c r="AW71" s="34"/>
      <c r="AX71" s="42">
        <v>118.08</v>
      </c>
      <c r="AY71" s="46" t="s">
        <v>554</v>
      </c>
      <c r="AZ71" s="34"/>
      <c r="BA71" s="30"/>
      <c r="BB71" s="30"/>
      <c r="BC71" s="35"/>
      <c r="BD71" s="42">
        <v>204.34</v>
      </c>
      <c r="BE71" s="39" t="s">
        <v>566</v>
      </c>
      <c r="BF71" s="31"/>
      <c r="BG71" s="30"/>
      <c r="BH71" s="30"/>
      <c r="BI71" s="31"/>
      <c r="BJ71" s="32"/>
      <c r="BK71" s="31"/>
      <c r="BL71" s="30"/>
      <c r="BM71" s="30"/>
    </row>
    <row r="72">
      <c r="A72" s="18" t="s">
        <v>23</v>
      </c>
      <c r="B72" s="18" t="s">
        <v>567</v>
      </c>
      <c r="C72" s="19" t="s">
        <v>568</v>
      </c>
      <c r="D72" s="19" t="s">
        <v>67</v>
      </c>
      <c r="E72" s="19" t="s">
        <v>68</v>
      </c>
      <c r="F72" s="20">
        <v>2.0</v>
      </c>
      <c r="G72" s="21">
        <v>2.0</v>
      </c>
      <c r="H72" s="21">
        <v>17.0</v>
      </c>
      <c r="I72" s="21">
        <v>34.0</v>
      </c>
      <c r="J72" s="45"/>
      <c r="K72" s="23">
        <v>36.59</v>
      </c>
      <c r="L72" s="24">
        <v>71.0</v>
      </c>
      <c r="M72" s="25" t="s">
        <v>69</v>
      </c>
      <c r="N72" s="25" t="s">
        <v>70</v>
      </c>
      <c r="O72" s="25">
        <v>2.1000000087E10</v>
      </c>
      <c r="P72" s="26" t="s">
        <v>569</v>
      </c>
      <c r="Q72" s="27" t="s">
        <v>570</v>
      </c>
      <c r="R72" s="28" t="s">
        <v>124</v>
      </c>
      <c r="S72" s="29">
        <f t="shared" si="1"/>
        <v>34</v>
      </c>
      <c r="T72" s="30"/>
      <c r="U72" s="30"/>
      <c r="V72" s="30"/>
      <c r="W72" s="30"/>
      <c r="X72" s="29">
        <v>2.0</v>
      </c>
      <c r="Y72" s="30"/>
      <c r="Z72" s="38">
        <v>16.0</v>
      </c>
      <c r="AA72" s="30"/>
      <c r="AB72" s="38">
        <v>16.0</v>
      </c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1"/>
      <c r="AT72" s="38" t="s">
        <v>168</v>
      </c>
      <c r="AU72" s="32">
        <f t="shared" si="2"/>
        <v>31.53333333</v>
      </c>
      <c r="AV72" s="33">
        <f t="shared" si="3"/>
        <v>40.99333333</v>
      </c>
      <c r="AW72" s="34"/>
      <c r="AX72" s="42">
        <v>26.84</v>
      </c>
      <c r="AY72" s="46" t="s">
        <v>571</v>
      </c>
      <c r="AZ72" s="34"/>
      <c r="BA72" s="30"/>
      <c r="BB72" s="30"/>
      <c r="BC72" s="35"/>
      <c r="BD72" s="42">
        <v>28.62</v>
      </c>
      <c r="BE72" s="46" t="s">
        <v>572</v>
      </c>
      <c r="BF72" s="31"/>
      <c r="BG72" s="30"/>
      <c r="BH72" s="30"/>
      <c r="BI72" s="31"/>
      <c r="BJ72" s="42">
        <v>39.14</v>
      </c>
      <c r="BK72" s="39" t="s">
        <v>573</v>
      </c>
      <c r="BL72" s="30"/>
      <c r="BM72" s="30"/>
    </row>
    <row r="73">
      <c r="A73" s="18" t="s">
        <v>43</v>
      </c>
      <c r="B73" s="18" t="s">
        <v>574</v>
      </c>
      <c r="C73" s="19" t="s">
        <v>575</v>
      </c>
      <c r="D73" s="19" t="s">
        <v>67</v>
      </c>
      <c r="E73" s="19" t="s">
        <v>68</v>
      </c>
      <c r="F73" s="20">
        <v>5.0</v>
      </c>
      <c r="G73" s="21">
        <v>5.0</v>
      </c>
      <c r="H73" s="21">
        <v>40.0</v>
      </c>
      <c r="I73" s="21">
        <v>200.0</v>
      </c>
      <c r="J73" s="45"/>
      <c r="K73" s="23">
        <v>71.63</v>
      </c>
      <c r="L73" s="24">
        <v>72.0</v>
      </c>
      <c r="M73" s="25" t="s">
        <v>69</v>
      </c>
      <c r="N73" s="25" t="s">
        <v>70</v>
      </c>
      <c r="O73" s="25">
        <v>2.1000000086E10</v>
      </c>
      <c r="P73" s="26" t="s">
        <v>576</v>
      </c>
      <c r="Q73" s="27" t="s">
        <v>577</v>
      </c>
      <c r="R73" s="28" t="s">
        <v>124</v>
      </c>
      <c r="S73" s="29">
        <f t="shared" si="1"/>
        <v>31</v>
      </c>
      <c r="T73" s="30"/>
      <c r="U73" s="30"/>
      <c r="V73" s="30"/>
      <c r="W73" s="30"/>
      <c r="X73" s="30"/>
      <c r="Y73" s="30"/>
      <c r="Z73" s="38">
        <v>21.0</v>
      </c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29">
        <f>5+5</f>
        <v>10</v>
      </c>
      <c r="AS73" s="31"/>
      <c r="AT73" s="38" t="s">
        <v>168</v>
      </c>
      <c r="AU73" s="32">
        <f t="shared" si="2"/>
        <v>58.82333333</v>
      </c>
      <c r="AV73" s="33">
        <f t="shared" si="3"/>
        <v>76.47033333</v>
      </c>
      <c r="AW73" s="34"/>
      <c r="AX73" s="42">
        <v>42.56</v>
      </c>
      <c r="AY73" s="46" t="s">
        <v>578</v>
      </c>
      <c r="AZ73" s="34"/>
      <c r="BA73" s="30"/>
      <c r="BB73" s="30"/>
      <c r="BC73" s="35"/>
      <c r="BD73" s="42">
        <v>47.28</v>
      </c>
      <c r="BE73" s="39" t="s">
        <v>579</v>
      </c>
      <c r="BF73" s="31"/>
      <c r="BG73" s="30"/>
      <c r="BH73" s="30"/>
      <c r="BI73" s="31"/>
      <c r="BJ73" s="42">
        <v>86.63</v>
      </c>
      <c r="BK73" s="46" t="s">
        <v>580</v>
      </c>
      <c r="BL73" s="30"/>
      <c r="BM73" s="30"/>
    </row>
    <row r="74">
      <c r="A74" s="18" t="s">
        <v>25</v>
      </c>
      <c r="B74" s="18" t="s">
        <v>581</v>
      </c>
      <c r="C74" s="19" t="s">
        <v>582</v>
      </c>
      <c r="D74" s="19" t="s">
        <v>67</v>
      </c>
      <c r="E74" s="19" t="s">
        <v>68</v>
      </c>
      <c r="F74" s="20">
        <v>1.0</v>
      </c>
      <c r="G74" s="21">
        <v>1.0</v>
      </c>
      <c r="H74" s="21">
        <v>124.0</v>
      </c>
      <c r="I74" s="21">
        <v>124.0</v>
      </c>
      <c r="J74" s="45"/>
      <c r="K74" s="23">
        <v>66.62</v>
      </c>
      <c r="L74" s="24">
        <v>73.0</v>
      </c>
      <c r="M74" s="25" t="s">
        <v>69</v>
      </c>
      <c r="N74" s="25" t="s">
        <v>70</v>
      </c>
      <c r="O74" s="25">
        <v>2.1000000093E10</v>
      </c>
      <c r="P74" s="26" t="s">
        <v>583</v>
      </c>
      <c r="Q74" s="27" t="s">
        <v>584</v>
      </c>
      <c r="R74" s="28" t="s">
        <v>124</v>
      </c>
      <c r="S74" s="29">
        <f t="shared" si="1"/>
        <v>1</v>
      </c>
      <c r="T74" s="30"/>
      <c r="U74" s="30"/>
      <c r="V74" s="30"/>
      <c r="W74" s="30"/>
      <c r="X74" s="30"/>
      <c r="Y74" s="30"/>
      <c r="Z74" s="29">
        <v>1.0</v>
      </c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1"/>
      <c r="AT74" s="38" t="s">
        <v>168</v>
      </c>
      <c r="AU74" s="32">
        <f t="shared" si="2"/>
        <v>64.94</v>
      </c>
      <c r="AV74" s="33">
        <f t="shared" si="3"/>
        <v>84.422</v>
      </c>
      <c r="AW74" s="34"/>
      <c r="AX74" s="42">
        <v>72.78</v>
      </c>
      <c r="AY74" s="46" t="s">
        <v>585</v>
      </c>
      <c r="AZ74" s="34"/>
      <c r="BA74" s="30"/>
      <c r="BB74" s="30"/>
      <c r="BC74" s="35"/>
      <c r="BD74" s="42">
        <v>60.78</v>
      </c>
      <c r="BE74" s="46" t="s">
        <v>586</v>
      </c>
      <c r="BF74" s="31"/>
      <c r="BG74" s="30"/>
      <c r="BH74" s="30"/>
      <c r="BI74" s="31"/>
      <c r="BJ74" s="42">
        <v>61.26</v>
      </c>
      <c r="BK74" s="46" t="s">
        <v>587</v>
      </c>
      <c r="BL74" s="30"/>
      <c r="BM74" s="30"/>
    </row>
    <row r="75">
      <c r="A75" s="18" t="s">
        <v>25</v>
      </c>
      <c r="B75" s="18" t="s">
        <v>588</v>
      </c>
      <c r="C75" s="19" t="s">
        <v>589</v>
      </c>
      <c r="D75" s="19" t="s">
        <v>67</v>
      </c>
      <c r="E75" s="19" t="s">
        <v>68</v>
      </c>
      <c r="F75" s="20">
        <v>9.0</v>
      </c>
      <c r="G75" s="21">
        <v>9.0</v>
      </c>
      <c r="H75" s="21">
        <v>77.0</v>
      </c>
      <c r="I75" s="21">
        <v>693.0</v>
      </c>
      <c r="J75" s="45"/>
      <c r="K75" s="23">
        <v>87.58</v>
      </c>
      <c r="L75" s="24">
        <v>74.0</v>
      </c>
      <c r="M75" s="25" t="s">
        <v>69</v>
      </c>
      <c r="N75" s="25" t="s">
        <v>70</v>
      </c>
      <c r="O75" s="25">
        <v>2.1000000159E10</v>
      </c>
      <c r="P75" s="26" t="s">
        <v>590</v>
      </c>
      <c r="Q75" s="27" t="s">
        <v>591</v>
      </c>
      <c r="R75" s="28" t="s">
        <v>208</v>
      </c>
      <c r="S75" s="29">
        <f t="shared" si="1"/>
        <v>9</v>
      </c>
      <c r="T75" s="30"/>
      <c r="U75" s="30"/>
      <c r="V75" s="30"/>
      <c r="W75" s="30"/>
      <c r="X75" s="30"/>
      <c r="Y75" s="30"/>
      <c r="Z75" s="29">
        <v>9.0</v>
      </c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1"/>
      <c r="AT75" s="38" t="s">
        <v>168</v>
      </c>
      <c r="AU75" s="32">
        <f t="shared" si="2"/>
        <v>89.51333333</v>
      </c>
      <c r="AV75" s="33">
        <f t="shared" si="3"/>
        <v>116.3673333</v>
      </c>
      <c r="AW75" s="34"/>
      <c r="AX75" s="32">
        <f>80.77</f>
        <v>80.77</v>
      </c>
      <c r="AY75" s="46" t="s">
        <v>592</v>
      </c>
      <c r="AZ75" s="34"/>
      <c r="BA75" s="30"/>
      <c r="BB75" s="30"/>
      <c r="BC75" s="35"/>
      <c r="BD75" s="32">
        <f>73.25</f>
        <v>73.25</v>
      </c>
      <c r="BE75" s="39" t="s">
        <v>593</v>
      </c>
      <c r="BF75" s="31"/>
      <c r="BG75" s="30"/>
      <c r="BH75" s="30"/>
      <c r="BI75" s="31"/>
      <c r="BJ75" s="32">
        <f>114.52</f>
        <v>114.52</v>
      </c>
      <c r="BK75" s="46" t="s">
        <v>594</v>
      </c>
      <c r="BL75" s="30"/>
      <c r="BM75" s="30"/>
    </row>
    <row r="76">
      <c r="A76" s="55" t="s">
        <v>25</v>
      </c>
      <c r="B76" s="55" t="s">
        <v>595</v>
      </c>
      <c r="C76" s="56" t="s">
        <v>596</v>
      </c>
      <c r="D76" s="56" t="s">
        <v>67</v>
      </c>
      <c r="E76" s="56" t="s">
        <v>68</v>
      </c>
      <c r="F76" s="57">
        <v>100.0</v>
      </c>
      <c r="G76" s="58">
        <v>1.0</v>
      </c>
      <c r="H76" s="58">
        <v>2.0</v>
      </c>
      <c r="I76" s="58">
        <v>2.0</v>
      </c>
      <c r="J76" s="79"/>
      <c r="K76" s="60">
        <v>1.6</v>
      </c>
      <c r="L76" s="61">
        <v>75.0</v>
      </c>
      <c r="M76" s="62" t="s">
        <v>69</v>
      </c>
      <c r="N76" s="62" t="s">
        <v>70</v>
      </c>
      <c r="O76" s="62">
        <v>2.100000057E10</v>
      </c>
      <c r="P76" s="63" t="s">
        <v>597</v>
      </c>
      <c r="Q76" s="64" t="s">
        <v>598</v>
      </c>
      <c r="R76" s="65" t="s">
        <v>79</v>
      </c>
      <c r="S76" s="68">
        <f t="shared" si="1"/>
        <v>250</v>
      </c>
      <c r="T76" s="66"/>
      <c r="U76" s="66"/>
      <c r="V76" s="66"/>
      <c r="W76" s="66"/>
      <c r="X76" s="66"/>
      <c r="Y76" s="66"/>
      <c r="Z76" s="65">
        <v>250.0</v>
      </c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9"/>
      <c r="AT76" s="67" t="s">
        <v>599</v>
      </c>
      <c r="AU76" s="70">
        <f t="shared" si="2"/>
        <v>0.7252</v>
      </c>
      <c r="AV76" s="71">
        <f t="shared" si="3"/>
        <v>0.94276</v>
      </c>
      <c r="AW76" s="72"/>
      <c r="AX76" s="70">
        <f>249.9/250</f>
        <v>0.9996</v>
      </c>
      <c r="AY76" s="80" t="s">
        <v>600</v>
      </c>
      <c r="AZ76" s="72"/>
      <c r="BA76" s="66"/>
      <c r="BB76" s="66"/>
      <c r="BC76" s="75"/>
      <c r="BD76" s="70">
        <f>112.7/250</f>
        <v>0.4508</v>
      </c>
      <c r="BE76" s="80" t="s">
        <v>601</v>
      </c>
      <c r="BF76" s="69"/>
      <c r="BG76" s="66"/>
      <c r="BH76" s="66"/>
      <c r="BI76" s="69"/>
      <c r="BJ76" s="70"/>
      <c r="BK76" s="69"/>
      <c r="BL76" s="66"/>
      <c r="BM76" s="66"/>
    </row>
    <row r="77">
      <c r="A77" s="18" t="s">
        <v>23</v>
      </c>
      <c r="B77" s="18" t="s">
        <v>602</v>
      </c>
      <c r="C77" s="19" t="s">
        <v>603</v>
      </c>
      <c r="D77" s="19" t="s">
        <v>67</v>
      </c>
      <c r="E77" s="19" t="s">
        <v>68</v>
      </c>
      <c r="F77" s="20">
        <v>6000.0</v>
      </c>
      <c r="G77" s="21">
        <v>2000.0</v>
      </c>
      <c r="H77" s="21">
        <v>0.05</v>
      </c>
      <c r="I77" s="21">
        <v>100.0</v>
      </c>
      <c r="J77" s="45"/>
      <c r="K77" s="23">
        <v>0.06</v>
      </c>
      <c r="L77" s="24">
        <v>76.0</v>
      </c>
      <c r="M77" s="25" t="s">
        <v>69</v>
      </c>
      <c r="N77" s="25" t="s">
        <v>70</v>
      </c>
      <c r="O77" s="25">
        <v>2.1000000097E10</v>
      </c>
      <c r="P77" s="26" t="s">
        <v>604</v>
      </c>
      <c r="Q77" s="27" t="s">
        <v>605</v>
      </c>
      <c r="R77" s="28" t="s">
        <v>79</v>
      </c>
      <c r="S77" s="29">
        <f t="shared" si="1"/>
        <v>9000</v>
      </c>
      <c r="T77" s="30"/>
      <c r="U77" s="30"/>
      <c r="V77" s="30"/>
      <c r="W77" s="30"/>
      <c r="X77" s="29">
        <v>2000.0</v>
      </c>
      <c r="Y77" s="30"/>
      <c r="Z77" s="38">
        <v>7000.0</v>
      </c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81"/>
      <c r="AT77" s="38" t="s">
        <v>599</v>
      </c>
      <c r="AU77" s="32">
        <f t="shared" si="2"/>
        <v>0.06407333333</v>
      </c>
      <c r="AV77" s="33">
        <f t="shared" si="3"/>
        <v>0.08329533333</v>
      </c>
      <c r="AW77" s="34"/>
      <c r="AX77" s="32">
        <f>22.22/500</f>
        <v>0.04444</v>
      </c>
      <c r="AY77" s="39" t="s">
        <v>606</v>
      </c>
      <c r="AZ77" s="34"/>
      <c r="BA77" s="30"/>
      <c r="BB77" s="30"/>
      <c r="BC77" s="35"/>
      <c r="BD77" s="32">
        <f>24/500</f>
        <v>0.048</v>
      </c>
      <c r="BE77" s="39" t="s">
        <v>607</v>
      </c>
      <c r="BF77" s="31"/>
      <c r="BG77" s="30"/>
      <c r="BH77" s="30"/>
      <c r="BI77" s="31"/>
      <c r="BJ77" s="32">
        <f>49.89/500</f>
        <v>0.09978</v>
      </c>
      <c r="BK77" s="39" t="s">
        <v>608</v>
      </c>
      <c r="BL77" s="30"/>
      <c r="BM77" s="30"/>
    </row>
    <row r="78">
      <c r="A78" s="18" t="s">
        <v>25</v>
      </c>
      <c r="B78" s="18" t="s">
        <v>609</v>
      </c>
      <c r="C78" s="19" t="s">
        <v>610</v>
      </c>
      <c r="D78" s="19" t="s">
        <v>67</v>
      </c>
      <c r="E78" s="19" t="s">
        <v>68</v>
      </c>
      <c r="F78" s="20">
        <v>1.0</v>
      </c>
      <c r="G78" s="21">
        <v>1.0</v>
      </c>
      <c r="H78" s="21">
        <v>98.0</v>
      </c>
      <c r="I78" s="21">
        <v>98.0</v>
      </c>
      <c r="J78" s="45"/>
      <c r="K78" s="23">
        <v>94.77</v>
      </c>
      <c r="L78" s="24">
        <v>77.0</v>
      </c>
      <c r="M78" s="25" t="s">
        <v>69</v>
      </c>
      <c r="N78" s="25" t="s">
        <v>70</v>
      </c>
      <c r="O78" s="25">
        <v>2.1000000307E10</v>
      </c>
      <c r="P78" s="26" t="s">
        <v>611</v>
      </c>
      <c r="Q78" s="27" t="s">
        <v>612</v>
      </c>
      <c r="R78" s="28" t="s">
        <v>208</v>
      </c>
      <c r="S78" s="29">
        <f t="shared" si="1"/>
        <v>1</v>
      </c>
      <c r="T78" s="30"/>
      <c r="U78" s="30"/>
      <c r="V78" s="30"/>
      <c r="W78" s="30"/>
      <c r="X78" s="30"/>
      <c r="Y78" s="30"/>
      <c r="Z78" s="29">
        <v>1.0</v>
      </c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1"/>
      <c r="AT78" s="38" t="s">
        <v>599</v>
      </c>
      <c r="AU78" s="32">
        <f t="shared" si="2"/>
        <v>78.21</v>
      </c>
      <c r="AV78" s="33">
        <f t="shared" si="3"/>
        <v>101.673</v>
      </c>
      <c r="AW78" s="34"/>
      <c r="AX78" s="42">
        <v>78.21</v>
      </c>
      <c r="AY78" s="39" t="s">
        <v>613</v>
      </c>
      <c r="AZ78" s="34"/>
      <c r="BA78" s="30"/>
      <c r="BB78" s="30"/>
      <c r="BC78" s="35"/>
      <c r="BD78" s="32"/>
      <c r="BE78" s="31"/>
      <c r="BF78" s="31"/>
      <c r="BG78" s="30"/>
      <c r="BH78" s="30"/>
      <c r="BI78" s="31"/>
      <c r="BJ78" s="32"/>
      <c r="BK78" s="31"/>
      <c r="BL78" s="30"/>
      <c r="BM78" s="30"/>
    </row>
    <row r="79">
      <c r="A79" s="18" t="s">
        <v>22</v>
      </c>
      <c r="B79" s="18" t="s">
        <v>614</v>
      </c>
      <c r="C79" s="19" t="s">
        <v>615</v>
      </c>
      <c r="D79" s="19" t="s">
        <v>67</v>
      </c>
      <c r="E79" s="19" t="s">
        <v>68</v>
      </c>
      <c r="F79" s="20">
        <v>2.0</v>
      </c>
      <c r="G79" s="21">
        <v>2.0</v>
      </c>
      <c r="H79" s="21">
        <v>100.0</v>
      </c>
      <c r="I79" s="21">
        <v>200.0</v>
      </c>
      <c r="J79" s="45"/>
      <c r="K79" s="23">
        <v>3.88</v>
      </c>
      <c r="L79" s="24">
        <v>78.0</v>
      </c>
      <c r="M79" s="25" t="s">
        <v>69</v>
      </c>
      <c r="N79" s="25" t="s">
        <v>70</v>
      </c>
      <c r="O79" s="25">
        <v>2.1000000366E10</v>
      </c>
      <c r="P79" s="26" t="s">
        <v>616</v>
      </c>
      <c r="Q79" s="27" t="s">
        <v>617</v>
      </c>
      <c r="R79" s="28" t="s">
        <v>79</v>
      </c>
      <c r="S79" s="29">
        <f t="shared" si="1"/>
        <v>50</v>
      </c>
      <c r="T79" s="30"/>
      <c r="U79" s="30"/>
      <c r="V79" s="30"/>
      <c r="W79" s="28">
        <v>50.0</v>
      </c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1"/>
      <c r="AT79" s="38" t="s">
        <v>599</v>
      </c>
      <c r="AU79" s="32">
        <f t="shared" si="2"/>
        <v>3.7084</v>
      </c>
      <c r="AV79" s="33">
        <f t="shared" si="3"/>
        <v>4.82092</v>
      </c>
      <c r="AW79" s="34"/>
      <c r="AX79" s="32">
        <f>74.13/25</f>
        <v>2.9652</v>
      </c>
      <c r="AY79" s="46" t="s">
        <v>618</v>
      </c>
      <c r="AZ79" s="34"/>
      <c r="BA79" s="30"/>
      <c r="BB79" s="30"/>
      <c r="BC79" s="35"/>
      <c r="BD79" s="32">
        <f>96/25</f>
        <v>3.84</v>
      </c>
      <c r="BE79" s="39" t="s">
        <v>619</v>
      </c>
      <c r="BF79" s="31"/>
      <c r="BG79" s="30"/>
      <c r="BH79" s="30"/>
      <c r="BI79" s="31"/>
      <c r="BJ79" s="32">
        <f>108/25</f>
        <v>4.32</v>
      </c>
      <c r="BK79" s="46" t="s">
        <v>620</v>
      </c>
      <c r="BL79" s="30"/>
      <c r="BM79" s="30"/>
    </row>
    <row r="80">
      <c r="A80" s="18" t="s">
        <v>25</v>
      </c>
      <c r="B80" s="18" t="s">
        <v>621</v>
      </c>
      <c r="C80" s="19" t="s">
        <v>622</v>
      </c>
      <c r="D80" s="19" t="s">
        <v>67</v>
      </c>
      <c r="E80" s="19" t="s">
        <v>68</v>
      </c>
      <c r="F80" s="20">
        <v>400.0</v>
      </c>
      <c r="G80" s="21">
        <v>4.0</v>
      </c>
      <c r="H80" s="21">
        <v>27.0</v>
      </c>
      <c r="I80" s="21">
        <v>108.0</v>
      </c>
      <c r="J80" s="45"/>
      <c r="K80" s="23">
        <v>2.16</v>
      </c>
      <c r="L80" s="24">
        <v>79.0</v>
      </c>
      <c r="M80" s="25" t="s">
        <v>69</v>
      </c>
      <c r="N80" s="25" t="s">
        <v>70</v>
      </c>
      <c r="O80" s="25">
        <v>2.1000000644E10</v>
      </c>
      <c r="P80" s="26" t="s">
        <v>623</v>
      </c>
      <c r="Q80" s="27" t="s">
        <v>624</v>
      </c>
      <c r="R80" s="28" t="s">
        <v>79</v>
      </c>
      <c r="S80" s="29">
        <f t="shared" si="1"/>
        <v>500</v>
      </c>
      <c r="T80" s="30"/>
      <c r="U80" s="30"/>
      <c r="V80" s="30"/>
      <c r="W80" s="30"/>
      <c r="X80" s="30"/>
      <c r="Y80" s="30"/>
      <c r="Z80" s="29">
        <f>400+100</f>
        <v>500</v>
      </c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1"/>
      <c r="AT80" s="38" t="s">
        <v>599</v>
      </c>
      <c r="AU80" s="32">
        <f t="shared" si="2"/>
        <v>1.7557</v>
      </c>
      <c r="AV80" s="33">
        <f t="shared" si="3"/>
        <v>2.28241</v>
      </c>
      <c r="AW80" s="34"/>
      <c r="AX80" s="32">
        <f>175.57/100</f>
        <v>1.7557</v>
      </c>
      <c r="AY80" s="46" t="s">
        <v>625</v>
      </c>
      <c r="AZ80" s="34"/>
      <c r="BA80" s="30"/>
      <c r="BB80" s="30"/>
      <c r="BC80" s="35"/>
      <c r="BD80" s="32"/>
      <c r="BE80" s="31"/>
      <c r="BF80" s="31"/>
      <c r="BG80" s="30"/>
      <c r="BH80" s="30"/>
      <c r="BI80" s="31"/>
      <c r="BJ80" s="32"/>
      <c r="BK80" s="31"/>
      <c r="BL80" s="30"/>
      <c r="BM80" s="30"/>
    </row>
    <row r="81">
      <c r="A81" s="18" t="s">
        <v>25</v>
      </c>
      <c r="B81" s="18" t="s">
        <v>626</v>
      </c>
      <c r="C81" s="19" t="s">
        <v>627</v>
      </c>
      <c r="D81" s="19" t="s">
        <v>67</v>
      </c>
      <c r="E81" s="19" t="s">
        <v>68</v>
      </c>
      <c r="F81" s="20">
        <v>1.0</v>
      </c>
      <c r="G81" s="21">
        <v>1.0</v>
      </c>
      <c r="H81" s="21">
        <v>750.0</v>
      </c>
      <c r="I81" s="21">
        <v>750.0</v>
      </c>
      <c r="J81" s="45"/>
      <c r="K81" s="23">
        <v>716.56</v>
      </c>
      <c r="L81" s="24">
        <v>80.0</v>
      </c>
      <c r="M81" s="25" t="s">
        <v>69</v>
      </c>
      <c r="N81" s="25" t="s">
        <v>70</v>
      </c>
      <c r="O81" s="25">
        <v>2.10000001E10</v>
      </c>
      <c r="P81" s="26" t="s">
        <v>628</v>
      </c>
      <c r="Q81" s="27" t="s">
        <v>626</v>
      </c>
      <c r="R81" s="28" t="s">
        <v>208</v>
      </c>
      <c r="S81" s="29">
        <f t="shared" si="1"/>
        <v>2</v>
      </c>
      <c r="T81" s="30"/>
      <c r="U81" s="30"/>
      <c r="V81" s="30"/>
      <c r="W81" s="30"/>
      <c r="X81" s="30"/>
      <c r="Y81" s="30"/>
      <c r="Z81" s="29">
        <v>1.0</v>
      </c>
      <c r="AA81" s="30"/>
      <c r="AB81" s="30"/>
      <c r="AC81" s="38"/>
      <c r="AD81" s="30"/>
      <c r="AE81" s="30"/>
      <c r="AF81" s="30"/>
      <c r="AG81" s="30"/>
      <c r="AH81" s="30"/>
      <c r="AI81" s="30"/>
      <c r="AJ81" s="30"/>
      <c r="AK81" s="30"/>
      <c r="AL81" s="30">
        <v>1.0</v>
      </c>
      <c r="AM81" s="30"/>
      <c r="AN81" s="30"/>
      <c r="AO81" s="30"/>
      <c r="AP81" s="30"/>
      <c r="AQ81" s="30"/>
      <c r="AR81" s="30"/>
      <c r="AS81" s="31"/>
      <c r="AT81" s="38" t="s">
        <v>81</v>
      </c>
      <c r="AU81" s="32">
        <f t="shared" si="2"/>
        <v>683.15</v>
      </c>
      <c r="AV81" s="33">
        <f t="shared" si="3"/>
        <v>888.095</v>
      </c>
      <c r="AW81" s="34"/>
      <c r="AX81" s="42">
        <v>800.01</v>
      </c>
      <c r="AY81" s="46" t="s">
        <v>629</v>
      </c>
      <c r="AZ81" s="34"/>
      <c r="BA81" s="30"/>
      <c r="BB81" s="30"/>
      <c r="BC81" s="35"/>
      <c r="BD81" s="42">
        <v>529.44</v>
      </c>
      <c r="BE81" s="39" t="s">
        <v>630</v>
      </c>
      <c r="BF81" s="31"/>
      <c r="BG81" s="30"/>
      <c r="BH81" s="30"/>
      <c r="BI81" s="31"/>
      <c r="BJ81" s="42">
        <v>720.0</v>
      </c>
      <c r="BK81" s="39" t="s">
        <v>631</v>
      </c>
      <c r="BL81" s="30"/>
      <c r="BM81" s="30"/>
    </row>
    <row r="82">
      <c r="A82" s="18" t="s">
        <v>22</v>
      </c>
      <c r="B82" s="18" t="s">
        <v>632</v>
      </c>
      <c r="C82" s="19" t="s">
        <v>633</v>
      </c>
      <c r="D82" s="19" t="s">
        <v>67</v>
      </c>
      <c r="E82" s="19" t="s">
        <v>68</v>
      </c>
      <c r="F82" s="20">
        <v>2.0</v>
      </c>
      <c r="G82" s="21">
        <v>2.0</v>
      </c>
      <c r="H82" s="21">
        <v>190.0</v>
      </c>
      <c r="I82" s="21">
        <v>380.0</v>
      </c>
      <c r="J82" s="45"/>
      <c r="K82" s="23">
        <v>192.84</v>
      </c>
      <c r="L82" s="24">
        <v>81.0</v>
      </c>
      <c r="M82" s="25" t="s">
        <v>69</v>
      </c>
      <c r="N82" s="25" t="s">
        <v>70</v>
      </c>
      <c r="O82" s="25">
        <v>2.1000000328E10</v>
      </c>
      <c r="P82" s="26" t="s">
        <v>634</v>
      </c>
      <c r="Q82" s="27" t="s">
        <v>635</v>
      </c>
      <c r="R82" s="28" t="s">
        <v>208</v>
      </c>
      <c r="S82" s="29">
        <f t="shared" si="1"/>
        <v>7</v>
      </c>
      <c r="T82" s="30"/>
      <c r="U82" s="30"/>
      <c r="V82" s="38"/>
      <c r="W82" s="29">
        <v>2.0</v>
      </c>
      <c r="X82" s="30"/>
      <c r="Y82" s="30"/>
      <c r="Z82" s="38">
        <v>5.0</v>
      </c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1"/>
      <c r="AT82" s="38" t="s">
        <v>81</v>
      </c>
      <c r="AU82" s="32">
        <f t="shared" si="2"/>
        <v>163.5466667</v>
      </c>
      <c r="AV82" s="33">
        <f t="shared" si="3"/>
        <v>212.6106667</v>
      </c>
      <c r="AW82" s="34"/>
      <c r="AX82" s="42">
        <v>160.0</v>
      </c>
      <c r="AY82" s="46" t="s">
        <v>636</v>
      </c>
      <c r="AZ82" s="34"/>
      <c r="BA82" s="30"/>
      <c r="BB82" s="30"/>
      <c r="BC82" s="35"/>
      <c r="BD82" s="42">
        <v>174.0</v>
      </c>
      <c r="BE82" s="46" t="s">
        <v>637</v>
      </c>
      <c r="BF82" s="31"/>
      <c r="BG82" s="30"/>
      <c r="BH82" s="30"/>
      <c r="BI82" s="31"/>
      <c r="BJ82" s="42">
        <v>156.64</v>
      </c>
      <c r="BK82" s="39" t="s">
        <v>638</v>
      </c>
      <c r="BL82" s="30"/>
      <c r="BM82" s="30"/>
    </row>
    <row r="83">
      <c r="A83" s="18" t="s">
        <v>25</v>
      </c>
      <c r="B83" s="18" t="s">
        <v>639</v>
      </c>
      <c r="C83" s="19" t="s">
        <v>640</v>
      </c>
      <c r="D83" s="19" t="s">
        <v>67</v>
      </c>
      <c r="E83" s="19" t="s">
        <v>68</v>
      </c>
      <c r="F83" s="20">
        <v>1.0</v>
      </c>
      <c r="G83" s="21">
        <v>1.0</v>
      </c>
      <c r="H83" s="21">
        <v>750.0</v>
      </c>
      <c r="I83" s="21">
        <v>750.0</v>
      </c>
      <c r="J83" s="45"/>
      <c r="K83" s="23">
        <v>815.68</v>
      </c>
      <c r="L83" s="24">
        <v>82.0</v>
      </c>
      <c r="M83" s="25" t="s">
        <v>69</v>
      </c>
      <c r="N83" s="25" t="s">
        <v>70</v>
      </c>
      <c r="O83" s="25">
        <v>2.1000000128E10</v>
      </c>
      <c r="P83" s="26" t="s">
        <v>641</v>
      </c>
      <c r="Q83" s="27" t="s">
        <v>642</v>
      </c>
      <c r="R83" s="28" t="s">
        <v>208</v>
      </c>
      <c r="S83" s="29">
        <f t="shared" si="1"/>
        <v>2</v>
      </c>
      <c r="T83" s="30"/>
      <c r="U83" s="30"/>
      <c r="V83" s="30"/>
      <c r="W83" s="30"/>
      <c r="X83" s="30"/>
      <c r="Y83" s="30"/>
      <c r="Z83" s="29">
        <v>1.0</v>
      </c>
      <c r="AA83" s="30"/>
      <c r="AB83" s="30"/>
      <c r="AC83" s="38">
        <v>1.0</v>
      </c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1"/>
      <c r="AT83" s="38" t="s">
        <v>599</v>
      </c>
      <c r="AU83" s="32">
        <f t="shared" si="2"/>
        <v>786.6</v>
      </c>
      <c r="AV83" s="33">
        <f t="shared" si="3"/>
        <v>1022.58</v>
      </c>
      <c r="AW83" s="34"/>
      <c r="AX83" s="42">
        <v>814.8</v>
      </c>
      <c r="AY83" s="46" t="s">
        <v>643</v>
      </c>
      <c r="AZ83" s="34"/>
      <c r="BA83" s="30"/>
      <c r="BB83" s="30"/>
      <c r="BC83" s="35"/>
      <c r="BD83" s="42">
        <v>640.0</v>
      </c>
      <c r="BE83" s="39" t="s">
        <v>644</v>
      </c>
      <c r="BF83" s="31"/>
      <c r="BG83" s="30"/>
      <c r="BH83" s="30"/>
      <c r="BI83" s="31"/>
      <c r="BJ83" s="42">
        <v>905.0</v>
      </c>
      <c r="BK83" s="46" t="s">
        <v>645</v>
      </c>
      <c r="BL83" s="30"/>
      <c r="BM83" s="30"/>
    </row>
    <row r="84">
      <c r="A84" s="18" t="s">
        <v>25</v>
      </c>
      <c r="B84" s="18" t="s">
        <v>646</v>
      </c>
      <c r="C84" s="19" t="s">
        <v>647</v>
      </c>
      <c r="D84" s="19" t="s">
        <v>67</v>
      </c>
      <c r="E84" s="19" t="s">
        <v>68</v>
      </c>
      <c r="F84" s="20">
        <v>50.0</v>
      </c>
      <c r="G84" s="21">
        <v>50.0</v>
      </c>
      <c r="H84" s="21">
        <v>2.0</v>
      </c>
      <c r="I84" s="21">
        <v>100.0</v>
      </c>
      <c r="J84" s="45"/>
      <c r="K84" s="23">
        <v>5.77</v>
      </c>
      <c r="L84" s="24">
        <v>83.0</v>
      </c>
      <c r="M84" s="25" t="s">
        <v>69</v>
      </c>
      <c r="N84" s="25" t="s">
        <v>70</v>
      </c>
      <c r="O84" s="25">
        <v>2.1000000102E10</v>
      </c>
      <c r="P84" s="26" t="s">
        <v>648</v>
      </c>
      <c r="Q84" s="27" t="s">
        <v>649</v>
      </c>
      <c r="R84" s="28" t="s">
        <v>79</v>
      </c>
      <c r="S84" s="29">
        <f t="shared" si="1"/>
        <v>150</v>
      </c>
      <c r="T84" s="30"/>
      <c r="U84" s="30"/>
      <c r="V84" s="30"/>
      <c r="W84" s="30"/>
      <c r="X84" s="30"/>
      <c r="Y84" s="30"/>
      <c r="Z84" s="29">
        <v>50.0</v>
      </c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8">
        <v>100.0</v>
      </c>
      <c r="AQ84" s="30"/>
      <c r="AR84" s="30"/>
      <c r="AS84" s="31"/>
      <c r="AT84" s="38" t="s">
        <v>81</v>
      </c>
      <c r="AU84" s="32">
        <f t="shared" si="2"/>
        <v>5.446</v>
      </c>
      <c r="AV84" s="33">
        <f t="shared" si="3"/>
        <v>7.0798</v>
      </c>
      <c r="AW84" s="34"/>
      <c r="AX84" s="32">
        <f>29.66/5 </f>
        <v>5.932</v>
      </c>
      <c r="AY84" s="46" t="s">
        <v>650</v>
      </c>
      <c r="AZ84" s="34"/>
      <c r="BA84" s="30"/>
      <c r="BB84" s="30"/>
      <c r="BC84" s="35"/>
      <c r="BD84" s="32">
        <f>25.5/5</f>
        <v>5.1</v>
      </c>
      <c r="BE84" s="46" t="s">
        <v>651</v>
      </c>
      <c r="BF84" s="31"/>
      <c r="BG84" s="30"/>
      <c r="BH84" s="30"/>
      <c r="BI84" s="31"/>
      <c r="BJ84" s="32">
        <f>26.53/5</f>
        <v>5.306</v>
      </c>
      <c r="BK84" s="39" t="s">
        <v>652</v>
      </c>
      <c r="BL84" s="30"/>
      <c r="BM84" s="30"/>
    </row>
    <row r="85">
      <c r="A85" s="18" t="s">
        <v>21</v>
      </c>
      <c r="B85" s="18" t="s">
        <v>653</v>
      </c>
      <c r="C85" s="19" t="s">
        <v>654</v>
      </c>
      <c r="D85" s="19" t="s">
        <v>67</v>
      </c>
      <c r="E85" s="19" t="s">
        <v>68</v>
      </c>
      <c r="F85" s="20">
        <v>25.0</v>
      </c>
      <c r="G85" s="21">
        <v>25.0</v>
      </c>
      <c r="H85" s="21">
        <v>3.98</v>
      </c>
      <c r="I85" s="21">
        <v>99.5</v>
      </c>
      <c r="J85" s="45"/>
      <c r="K85" s="23">
        <v>130.02</v>
      </c>
      <c r="L85" s="24">
        <v>84.0</v>
      </c>
      <c r="M85" s="25" t="s">
        <v>69</v>
      </c>
      <c r="N85" s="25" t="s">
        <v>70</v>
      </c>
      <c r="O85" s="25">
        <v>2.1000000269E10</v>
      </c>
      <c r="P85" s="26" t="s">
        <v>655</v>
      </c>
      <c r="Q85" s="27" t="s">
        <v>656</v>
      </c>
      <c r="R85" s="28" t="s">
        <v>208</v>
      </c>
      <c r="S85" s="29">
        <f t="shared" si="1"/>
        <v>1</v>
      </c>
      <c r="T85" s="30"/>
      <c r="U85" s="30"/>
      <c r="V85" s="28">
        <v>1.0</v>
      </c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1"/>
      <c r="AT85" s="38" t="s">
        <v>81</v>
      </c>
      <c r="AU85" s="32">
        <f t="shared" si="2"/>
        <v>123.66</v>
      </c>
      <c r="AV85" s="33">
        <f t="shared" si="3"/>
        <v>160.758</v>
      </c>
      <c r="AW85" s="34"/>
      <c r="AX85" s="32">
        <f>125.58</f>
        <v>125.58</v>
      </c>
      <c r="AY85" s="46" t="s">
        <v>657</v>
      </c>
      <c r="AZ85" s="34"/>
      <c r="BA85" s="30"/>
      <c r="BB85" s="30"/>
      <c r="BC85" s="35"/>
      <c r="BD85" s="32">
        <f>105.9</f>
        <v>105.9</v>
      </c>
      <c r="BE85" s="46" t="s">
        <v>658</v>
      </c>
      <c r="BF85" s="31"/>
      <c r="BG85" s="30"/>
      <c r="BH85" s="30"/>
      <c r="BI85" s="31"/>
      <c r="BJ85" s="32">
        <f>139.5</f>
        <v>139.5</v>
      </c>
      <c r="BK85" s="46" t="s">
        <v>659</v>
      </c>
      <c r="BL85" s="30"/>
      <c r="BM85" s="30"/>
    </row>
    <row r="86">
      <c r="A86" s="18" t="s">
        <v>25</v>
      </c>
      <c r="B86" s="18" t="s">
        <v>660</v>
      </c>
      <c r="C86" s="19" t="s">
        <v>661</v>
      </c>
      <c r="D86" s="19" t="s">
        <v>67</v>
      </c>
      <c r="E86" s="19" t="s">
        <v>68</v>
      </c>
      <c r="F86" s="20">
        <v>1.0</v>
      </c>
      <c r="G86" s="21">
        <v>1.0</v>
      </c>
      <c r="H86" s="21">
        <v>445.0</v>
      </c>
      <c r="I86" s="21">
        <v>445.0</v>
      </c>
      <c r="J86" s="45"/>
      <c r="K86" s="23">
        <v>45.01</v>
      </c>
      <c r="L86" s="24">
        <v>85.0</v>
      </c>
      <c r="M86" s="25" t="s">
        <v>69</v>
      </c>
      <c r="N86" s="25" t="s">
        <v>70</v>
      </c>
      <c r="O86" s="25">
        <v>2.1000000455E10</v>
      </c>
      <c r="P86" s="26" t="s">
        <v>662</v>
      </c>
      <c r="Q86" s="27" t="s">
        <v>663</v>
      </c>
      <c r="R86" s="28" t="s">
        <v>208</v>
      </c>
      <c r="S86" s="29">
        <f t="shared" si="1"/>
        <v>1</v>
      </c>
      <c r="T86" s="30"/>
      <c r="U86" s="30"/>
      <c r="V86" s="30"/>
      <c r="W86" s="30"/>
      <c r="X86" s="30"/>
      <c r="Y86" s="30"/>
      <c r="Z86" s="29">
        <v>1.0</v>
      </c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1"/>
      <c r="AT86" s="38" t="s">
        <v>81</v>
      </c>
      <c r="AU86" s="32">
        <f t="shared" si="2"/>
        <v>39.07</v>
      </c>
      <c r="AV86" s="33">
        <f t="shared" si="3"/>
        <v>50.791</v>
      </c>
      <c r="AW86" s="34"/>
      <c r="AX86" s="42">
        <v>39.84</v>
      </c>
      <c r="AY86" s="46" t="s">
        <v>664</v>
      </c>
      <c r="AZ86" s="34"/>
      <c r="BA86" s="30"/>
      <c r="BB86" s="30"/>
      <c r="BC86" s="35"/>
      <c r="BD86" s="42">
        <v>40.37</v>
      </c>
      <c r="BE86" s="46" t="s">
        <v>665</v>
      </c>
      <c r="BF86" s="31"/>
      <c r="BG86" s="30"/>
      <c r="BH86" s="30"/>
      <c r="BI86" s="31"/>
      <c r="BJ86" s="42">
        <v>37.0</v>
      </c>
      <c r="BK86" s="39" t="s">
        <v>666</v>
      </c>
      <c r="BL86" s="30"/>
      <c r="BM86" s="30"/>
    </row>
    <row r="87">
      <c r="A87" s="18" t="s">
        <v>40</v>
      </c>
      <c r="B87" s="18" t="s">
        <v>667</v>
      </c>
      <c r="C87" s="19" t="s">
        <v>668</v>
      </c>
      <c r="D87" s="19" t="s">
        <v>67</v>
      </c>
      <c r="E87" s="19" t="s">
        <v>68</v>
      </c>
      <c r="F87" s="20">
        <v>5.0</v>
      </c>
      <c r="G87" s="21">
        <v>5.0</v>
      </c>
      <c r="H87" s="21">
        <v>49.0</v>
      </c>
      <c r="I87" s="21">
        <v>245.0</v>
      </c>
      <c r="J87" s="45"/>
      <c r="K87" s="23">
        <v>48.64</v>
      </c>
      <c r="L87" s="24">
        <v>86.0</v>
      </c>
      <c r="M87" s="25" t="s">
        <v>69</v>
      </c>
      <c r="N87" s="25" t="s">
        <v>70</v>
      </c>
      <c r="O87" s="25">
        <v>2.1000000104E10</v>
      </c>
      <c r="P87" s="26" t="s">
        <v>669</v>
      </c>
      <c r="Q87" s="27" t="s">
        <v>670</v>
      </c>
      <c r="R87" s="28" t="s">
        <v>208</v>
      </c>
      <c r="S87" s="29">
        <f t="shared" si="1"/>
        <v>9</v>
      </c>
      <c r="T87" s="30"/>
      <c r="U87" s="30"/>
      <c r="V87" s="30"/>
      <c r="W87" s="30"/>
      <c r="X87" s="30"/>
      <c r="Y87" s="30"/>
      <c r="Z87" s="38">
        <f>1+1</f>
        <v>2</v>
      </c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29">
        <v>5.0</v>
      </c>
      <c r="AP87" s="38">
        <v>2.0</v>
      </c>
      <c r="AQ87" s="30"/>
      <c r="AR87" s="30"/>
      <c r="AS87" s="31"/>
      <c r="AT87" s="38" t="s">
        <v>81</v>
      </c>
      <c r="AU87" s="32">
        <f t="shared" si="2"/>
        <v>37.64333333</v>
      </c>
      <c r="AV87" s="33">
        <f t="shared" si="3"/>
        <v>48.93633333</v>
      </c>
      <c r="AW87" s="34"/>
      <c r="AX87" s="32">
        <f>38.02</f>
        <v>38.02</v>
      </c>
      <c r="AY87" s="39" t="s">
        <v>671</v>
      </c>
      <c r="AZ87" s="34"/>
      <c r="BA87" s="30"/>
      <c r="BB87" s="30"/>
      <c r="BC87" s="35"/>
      <c r="BD87" s="32">
        <f>40.02</f>
        <v>40.02</v>
      </c>
      <c r="BE87" s="46" t="s">
        <v>672</v>
      </c>
      <c r="BF87" s="31"/>
      <c r="BG87" s="30"/>
      <c r="BH87" s="30"/>
      <c r="BI87" s="31"/>
      <c r="BJ87" s="32">
        <f>34.89</f>
        <v>34.89</v>
      </c>
      <c r="BK87" s="39" t="s">
        <v>673</v>
      </c>
      <c r="BL87" s="30"/>
      <c r="BM87" s="30"/>
    </row>
    <row r="88">
      <c r="A88" s="18" t="s">
        <v>25</v>
      </c>
      <c r="B88" s="18" t="s">
        <v>674</v>
      </c>
      <c r="C88" s="19" t="s">
        <v>675</v>
      </c>
      <c r="D88" s="19" t="s">
        <v>67</v>
      </c>
      <c r="E88" s="19" t="s">
        <v>68</v>
      </c>
      <c r="F88" s="20">
        <v>552.0</v>
      </c>
      <c r="G88" s="21">
        <v>1.0</v>
      </c>
      <c r="H88" s="21">
        <v>10.0</v>
      </c>
      <c r="I88" s="21">
        <v>10.0</v>
      </c>
      <c r="J88" s="45"/>
      <c r="K88" s="23">
        <v>0.03</v>
      </c>
      <c r="L88" s="24">
        <v>87.0</v>
      </c>
      <c r="M88" s="25" t="s">
        <v>69</v>
      </c>
      <c r="N88" s="25" t="s">
        <v>70</v>
      </c>
      <c r="O88" s="25">
        <v>2.1000000123E10</v>
      </c>
      <c r="P88" s="26" t="s">
        <v>676</v>
      </c>
      <c r="Q88" s="27" t="s">
        <v>677</v>
      </c>
      <c r="R88" s="28" t="s">
        <v>79</v>
      </c>
      <c r="S88" s="29">
        <f t="shared" si="1"/>
        <v>500</v>
      </c>
      <c r="T88" s="30"/>
      <c r="U88" s="30"/>
      <c r="V88" s="30"/>
      <c r="W88" s="30"/>
      <c r="X88" s="30"/>
      <c r="Y88" s="30"/>
      <c r="Z88" s="28">
        <v>500.0</v>
      </c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1"/>
      <c r="AT88" s="38" t="s">
        <v>678</v>
      </c>
      <c r="AU88" s="32">
        <f t="shared" si="2"/>
        <v>0.02996666667</v>
      </c>
      <c r="AV88" s="33">
        <f t="shared" si="3"/>
        <v>0.03895666667</v>
      </c>
      <c r="AW88" s="34"/>
      <c r="AX88" s="42">
        <f>17.21/500</f>
        <v>0.03442</v>
      </c>
      <c r="AY88" s="46" t="s">
        <v>679</v>
      </c>
      <c r="AZ88" s="34"/>
      <c r="BA88" s="30"/>
      <c r="BB88" s="40">
        <v>45358.0</v>
      </c>
      <c r="BC88" s="35"/>
      <c r="BD88" s="42">
        <f>10.69/500</f>
        <v>0.02138</v>
      </c>
      <c r="BE88" s="46" t="s">
        <v>680</v>
      </c>
      <c r="BF88" s="31"/>
      <c r="BG88" s="30"/>
      <c r="BH88" s="30"/>
      <c r="BI88" s="31"/>
      <c r="BJ88" s="42">
        <f>17.05/500</f>
        <v>0.0341</v>
      </c>
      <c r="BK88" s="46" t="s">
        <v>681</v>
      </c>
      <c r="BL88" s="30"/>
      <c r="BM88" s="30"/>
    </row>
    <row r="89">
      <c r="A89" s="18" t="s">
        <v>25</v>
      </c>
      <c r="B89" s="18" t="s">
        <v>682</v>
      </c>
      <c r="C89" s="19" t="s">
        <v>683</v>
      </c>
      <c r="D89" s="19" t="s">
        <v>67</v>
      </c>
      <c r="E89" s="19" t="s">
        <v>68</v>
      </c>
      <c r="F89" s="20">
        <v>1504.0</v>
      </c>
      <c r="G89" s="21">
        <v>3.0</v>
      </c>
      <c r="H89" s="21">
        <v>0.0</v>
      </c>
      <c r="I89" s="21">
        <v>0.0</v>
      </c>
      <c r="J89" s="45"/>
      <c r="K89" s="23">
        <v>0.19</v>
      </c>
      <c r="L89" s="24">
        <v>88.0</v>
      </c>
      <c r="M89" s="25" t="s">
        <v>69</v>
      </c>
      <c r="N89" s="25" t="s">
        <v>70</v>
      </c>
      <c r="O89" s="25">
        <v>2.1000000124E10</v>
      </c>
      <c r="P89" s="26" t="s">
        <v>684</v>
      </c>
      <c r="Q89" s="27" t="s">
        <v>685</v>
      </c>
      <c r="R89" s="28" t="s">
        <v>79</v>
      </c>
      <c r="S89" s="29">
        <f t="shared" si="1"/>
        <v>1500</v>
      </c>
      <c r="T89" s="30"/>
      <c r="U89" s="30"/>
      <c r="V89" s="30"/>
      <c r="W89" s="30"/>
      <c r="X89" s="30"/>
      <c r="Y89" s="30"/>
      <c r="Z89" s="28">
        <v>1500.0</v>
      </c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1"/>
      <c r="AT89" s="38" t="s">
        <v>678</v>
      </c>
      <c r="AU89" s="32">
        <f t="shared" si="2"/>
        <v>0.17616</v>
      </c>
      <c r="AV89" s="33">
        <f t="shared" si="3"/>
        <v>0.229008</v>
      </c>
      <c r="AW89" s="34"/>
      <c r="AX89" s="32">
        <f>88.86/500</f>
        <v>0.17772</v>
      </c>
      <c r="AY89" s="46" t="s">
        <v>686</v>
      </c>
      <c r="AZ89" s="34"/>
      <c r="BA89" s="30"/>
      <c r="BB89" s="40">
        <v>45358.0</v>
      </c>
      <c r="BC89" s="35"/>
      <c r="BD89" s="32">
        <f>79.38/500</f>
        <v>0.15876</v>
      </c>
      <c r="BE89" s="46" t="s">
        <v>687</v>
      </c>
      <c r="BF89" s="31"/>
      <c r="BG89" s="30"/>
      <c r="BH89" s="30"/>
      <c r="BI89" s="31"/>
      <c r="BJ89" s="32">
        <f>96/500</f>
        <v>0.192</v>
      </c>
      <c r="BK89" s="46" t="s">
        <v>688</v>
      </c>
      <c r="BL89" s="30"/>
      <c r="BM89" s="30"/>
    </row>
    <row r="90">
      <c r="A90" s="18" t="s">
        <v>25</v>
      </c>
      <c r="B90" s="18" t="s">
        <v>689</v>
      </c>
      <c r="C90" s="19" t="s">
        <v>690</v>
      </c>
      <c r="D90" s="19" t="s">
        <v>67</v>
      </c>
      <c r="E90" s="19" t="s">
        <v>68</v>
      </c>
      <c r="F90" s="20">
        <v>5.0</v>
      </c>
      <c r="G90" s="21">
        <v>5.0</v>
      </c>
      <c r="H90" s="21">
        <v>80.0</v>
      </c>
      <c r="I90" s="21">
        <v>400.0</v>
      </c>
      <c r="J90" s="36" t="s">
        <v>691</v>
      </c>
      <c r="K90" s="23">
        <v>80.6</v>
      </c>
      <c r="L90" s="24">
        <v>89.0</v>
      </c>
      <c r="M90" s="25" t="s">
        <v>69</v>
      </c>
      <c r="N90" s="25" t="s">
        <v>70</v>
      </c>
      <c r="O90" s="25">
        <v>2.1000000555E10</v>
      </c>
      <c r="P90" s="26" t="s">
        <v>692</v>
      </c>
      <c r="Q90" s="27" t="s">
        <v>693</v>
      </c>
      <c r="R90" s="28" t="s">
        <v>79</v>
      </c>
      <c r="S90" s="29">
        <f t="shared" si="1"/>
        <v>20</v>
      </c>
      <c r="T90" s="30"/>
      <c r="U90" s="30"/>
      <c r="V90" s="30"/>
      <c r="W90" s="30"/>
      <c r="X90" s="30"/>
      <c r="Y90" s="30"/>
      <c r="Z90" s="28">
        <v>10.0</v>
      </c>
      <c r="AA90" s="30"/>
      <c r="AB90" s="30"/>
      <c r="AC90" s="38">
        <v>10.0</v>
      </c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1"/>
      <c r="AT90" s="38" t="s">
        <v>678</v>
      </c>
      <c r="AU90" s="32">
        <f t="shared" si="2"/>
        <v>80.60133333</v>
      </c>
      <c r="AV90" s="33">
        <f t="shared" si="3"/>
        <v>104.7817333</v>
      </c>
      <c r="AW90" s="34"/>
      <c r="AX90" s="32">
        <f>941.34/10</f>
        <v>94.134</v>
      </c>
      <c r="AY90" s="39" t="s">
        <v>694</v>
      </c>
      <c r="AZ90" s="34"/>
      <c r="BA90" s="30"/>
      <c r="BB90" s="40">
        <v>45358.0</v>
      </c>
      <c r="BC90" s="35"/>
      <c r="BD90" s="32">
        <f>688.7/10</f>
        <v>68.87</v>
      </c>
      <c r="BE90" s="46" t="s">
        <v>695</v>
      </c>
      <c r="BF90" s="31"/>
      <c r="BG90" s="30"/>
      <c r="BH90" s="30"/>
      <c r="BI90" s="31"/>
      <c r="BJ90" s="32">
        <f>788/10</f>
        <v>78.8</v>
      </c>
      <c r="BK90" s="46" t="s">
        <v>696</v>
      </c>
      <c r="BL90" s="30"/>
      <c r="BM90" s="30"/>
    </row>
    <row r="91">
      <c r="A91" s="18" t="s">
        <v>25</v>
      </c>
      <c r="B91" s="18" t="s">
        <v>697</v>
      </c>
      <c r="C91" s="19" t="s">
        <v>698</v>
      </c>
      <c r="D91" s="19" t="s">
        <v>67</v>
      </c>
      <c r="E91" s="19" t="s">
        <v>68</v>
      </c>
      <c r="F91" s="20">
        <v>800.0</v>
      </c>
      <c r="G91" s="21">
        <v>8.0</v>
      </c>
      <c r="H91" s="21">
        <v>90.0</v>
      </c>
      <c r="I91" s="21">
        <v>720.0</v>
      </c>
      <c r="J91" s="45"/>
      <c r="K91" s="23">
        <v>0.74</v>
      </c>
      <c r="L91" s="24">
        <v>90.0</v>
      </c>
      <c r="M91" s="25" t="s">
        <v>69</v>
      </c>
      <c r="N91" s="25" t="s">
        <v>70</v>
      </c>
      <c r="O91" s="25">
        <v>2.1000000215E10</v>
      </c>
      <c r="P91" s="26" t="s">
        <v>699</v>
      </c>
      <c r="Q91" s="27" t="s">
        <v>700</v>
      </c>
      <c r="R91" s="28" t="s">
        <v>79</v>
      </c>
      <c r="S91" s="29">
        <f t="shared" si="1"/>
        <v>3400</v>
      </c>
      <c r="T91" s="30"/>
      <c r="U91" s="30"/>
      <c r="V91" s="30"/>
      <c r="W91" s="30"/>
      <c r="X91" s="30"/>
      <c r="Y91" s="30"/>
      <c r="Z91" s="28">
        <v>800.0</v>
      </c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8">
        <v>1000.0</v>
      </c>
      <c r="AR91" s="38">
        <v>1600.0</v>
      </c>
      <c r="AS91" s="31"/>
      <c r="AT91" s="38" t="s">
        <v>678</v>
      </c>
      <c r="AU91" s="32">
        <f t="shared" si="2"/>
        <v>0.6545333333</v>
      </c>
      <c r="AV91" s="33">
        <f t="shared" si="3"/>
        <v>0.8508933333</v>
      </c>
      <c r="AW91" s="34"/>
      <c r="AX91" s="32">
        <f>59.1/100</f>
        <v>0.591</v>
      </c>
      <c r="AY91" s="46" t="s">
        <v>701</v>
      </c>
      <c r="AZ91" s="34"/>
      <c r="BA91" s="30"/>
      <c r="BB91" s="40">
        <v>45358.0</v>
      </c>
      <c r="BC91" s="35"/>
      <c r="BD91" s="32">
        <f>62.38/100</f>
        <v>0.6238</v>
      </c>
      <c r="BE91" s="46" t="s">
        <v>702</v>
      </c>
      <c r="BF91" s="31"/>
      <c r="BG91" s="30"/>
      <c r="BH91" s="30"/>
      <c r="BI91" s="31"/>
      <c r="BJ91" s="32">
        <f>74.88/100</f>
        <v>0.7488</v>
      </c>
      <c r="BK91" s="46" t="s">
        <v>703</v>
      </c>
      <c r="BL91" s="30"/>
      <c r="BM91" s="30"/>
    </row>
    <row r="92">
      <c r="A92" s="18" t="s">
        <v>25</v>
      </c>
      <c r="B92" s="18" t="s">
        <v>704</v>
      </c>
      <c r="C92" s="19" t="s">
        <v>705</v>
      </c>
      <c r="D92" s="19" t="s">
        <v>67</v>
      </c>
      <c r="E92" s="19" t="s">
        <v>68</v>
      </c>
      <c r="F92" s="20">
        <v>250.0</v>
      </c>
      <c r="G92" s="21">
        <v>1.0</v>
      </c>
      <c r="H92" s="21">
        <v>30.0</v>
      </c>
      <c r="I92" s="21">
        <v>30.0</v>
      </c>
      <c r="J92" s="45"/>
      <c r="K92" s="23">
        <v>0.38</v>
      </c>
      <c r="L92" s="24">
        <v>91.0</v>
      </c>
      <c r="M92" s="25" t="s">
        <v>69</v>
      </c>
      <c r="N92" s="25" t="s">
        <v>70</v>
      </c>
      <c r="O92" s="25">
        <v>2.1000000214E10</v>
      </c>
      <c r="P92" s="26" t="s">
        <v>706</v>
      </c>
      <c r="Q92" s="27" t="s">
        <v>707</v>
      </c>
      <c r="R92" s="28" t="s">
        <v>79</v>
      </c>
      <c r="S92" s="29">
        <f t="shared" si="1"/>
        <v>500</v>
      </c>
      <c r="T92" s="30"/>
      <c r="U92" s="30"/>
      <c r="V92" s="30"/>
      <c r="W92" s="30"/>
      <c r="X92" s="30"/>
      <c r="Y92" s="30"/>
      <c r="Z92" s="28">
        <v>250.0</v>
      </c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8">
        <v>250.0</v>
      </c>
      <c r="AO92" s="30"/>
      <c r="AP92" s="30"/>
      <c r="AQ92" s="30"/>
      <c r="AR92" s="30"/>
      <c r="AS92" s="31"/>
      <c r="AT92" s="38" t="s">
        <v>678</v>
      </c>
      <c r="AU92" s="32">
        <f t="shared" si="2"/>
        <v>0.42996</v>
      </c>
      <c r="AV92" s="33">
        <f t="shared" si="3"/>
        <v>0.558948</v>
      </c>
      <c r="AW92" s="34"/>
      <c r="AX92" s="32">
        <f>90.79/250</f>
        <v>0.36316</v>
      </c>
      <c r="AY92" s="46" t="s">
        <v>708</v>
      </c>
      <c r="AZ92" s="34"/>
      <c r="BA92" s="30"/>
      <c r="BB92" s="40">
        <v>45358.0</v>
      </c>
      <c r="BC92" s="35"/>
      <c r="BD92" s="32">
        <f>152.49/250</f>
        <v>0.60996</v>
      </c>
      <c r="BE92" s="46" t="s">
        <v>709</v>
      </c>
      <c r="BF92" s="31"/>
      <c r="BG92" s="30"/>
      <c r="BH92" s="30"/>
      <c r="BI92" s="31"/>
      <c r="BJ92" s="32">
        <f>79.19/250</f>
        <v>0.31676</v>
      </c>
      <c r="BK92" s="46" t="s">
        <v>710</v>
      </c>
      <c r="BL92" s="30"/>
      <c r="BM92" s="30"/>
    </row>
    <row r="93">
      <c r="A93" s="18" t="s">
        <v>43</v>
      </c>
      <c r="B93" s="18" t="s">
        <v>711</v>
      </c>
      <c r="C93" s="19" t="s">
        <v>712</v>
      </c>
      <c r="D93" s="19" t="s">
        <v>67</v>
      </c>
      <c r="E93" s="19" t="s">
        <v>68</v>
      </c>
      <c r="F93" s="20">
        <v>1.0</v>
      </c>
      <c r="G93" s="21">
        <v>1.0</v>
      </c>
      <c r="H93" s="21">
        <v>140.0</v>
      </c>
      <c r="I93" s="21">
        <v>140.0</v>
      </c>
      <c r="J93" s="45"/>
      <c r="K93" s="23">
        <v>0.18</v>
      </c>
      <c r="L93" s="24">
        <v>92.0</v>
      </c>
      <c r="M93" s="25" t="s">
        <v>69</v>
      </c>
      <c r="N93" s="25" t="s">
        <v>70</v>
      </c>
      <c r="O93" s="25">
        <v>2.1000000654E10</v>
      </c>
      <c r="P93" s="26" t="s">
        <v>713</v>
      </c>
      <c r="Q93" s="27" t="s">
        <v>714</v>
      </c>
      <c r="R93" s="28" t="s">
        <v>79</v>
      </c>
      <c r="S93" s="29">
        <f t="shared" si="1"/>
        <v>500</v>
      </c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28">
        <v>500.0</v>
      </c>
      <c r="AS93" s="31"/>
      <c r="AT93" s="38" t="s">
        <v>678</v>
      </c>
      <c r="AU93" s="32">
        <f t="shared" si="2"/>
        <v>0.1807866667</v>
      </c>
      <c r="AV93" s="33">
        <f t="shared" si="3"/>
        <v>0.2350226667</v>
      </c>
      <c r="AW93" s="34"/>
      <c r="AX93" s="32">
        <f>98.02/500</f>
        <v>0.19604</v>
      </c>
      <c r="AY93" s="46" t="s">
        <v>715</v>
      </c>
      <c r="AZ93" s="34"/>
      <c r="BA93" s="30"/>
      <c r="BB93" s="40">
        <v>45358.0</v>
      </c>
      <c r="BC93" s="35"/>
      <c r="BD93" s="32">
        <f>69.98/500</f>
        <v>0.13996</v>
      </c>
      <c r="BE93" s="46" t="s">
        <v>716</v>
      </c>
      <c r="BF93" s="31"/>
      <c r="BG93" s="30"/>
      <c r="BH93" s="30"/>
      <c r="BI93" s="31"/>
      <c r="BJ93" s="32">
        <f>103.18/500</f>
        <v>0.20636</v>
      </c>
      <c r="BK93" s="46" t="s">
        <v>717</v>
      </c>
      <c r="BL93" s="30"/>
      <c r="BM93" s="30"/>
    </row>
    <row r="94">
      <c r="A94" s="18" t="s">
        <v>26</v>
      </c>
      <c r="B94" s="18" t="s">
        <v>718</v>
      </c>
      <c r="C94" s="19" t="s">
        <v>719</v>
      </c>
      <c r="D94" s="19" t="s">
        <v>67</v>
      </c>
      <c r="E94" s="19" t="s">
        <v>68</v>
      </c>
      <c r="F94" s="20">
        <v>1.0</v>
      </c>
      <c r="G94" s="21">
        <v>1.0</v>
      </c>
      <c r="H94" s="21">
        <v>306.86</v>
      </c>
      <c r="I94" s="21">
        <v>306.86</v>
      </c>
      <c r="J94" s="45"/>
      <c r="K94" s="23">
        <v>403.98</v>
      </c>
      <c r="L94" s="24">
        <v>93.0</v>
      </c>
      <c r="M94" s="25" t="s">
        <v>69</v>
      </c>
      <c r="N94" s="25" t="s">
        <v>70</v>
      </c>
      <c r="O94" s="25">
        <v>2.1000000059E10</v>
      </c>
      <c r="P94" s="26" t="s">
        <v>720</v>
      </c>
      <c r="Q94" s="27" t="s">
        <v>721</v>
      </c>
      <c r="R94" s="28" t="s">
        <v>208</v>
      </c>
      <c r="S94" s="29">
        <f t="shared" si="1"/>
        <v>3</v>
      </c>
      <c r="T94" s="30"/>
      <c r="U94" s="30"/>
      <c r="V94" s="30"/>
      <c r="W94" s="30"/>
      <c r="X94" s="30"/>
      <c r="Y94" s="30"/>
      <c r="Z94" s="38">
        <v>1.0</v>
      </c>
      <c r="AA94" s="29">
        <v>1.0</v>
      </c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8">
        <v>1.0</v>
      </c>
      <c r="AP94" s="30"/>
      <c r="AQ94" s="30"/>
      <c r="AR94" s="30"/>
      <c r="AS94" s="31"/>
      <c r="AT94" s="38" t="s">
        <v>678</v>
      </c>
      <c r="AU94" s="32">
        <f t="shared" si="2"/>
        <v>346.95</v>
      </c>
      <c r="AV94" s="33">
        <f t="shared" si="3"/>
        <v>451.035</v>
      </c>
      <c r="AW94" s="34"/>
      <c r="AX94" s="42">
        <v>314.01</v>
      </c>
      <c r="AY94" s="46" t="s">
        <v>722</v>
      </c>
      <c r="AZ94" s="34"/>
      <c r="BA94" s="30"/>
      <c r="BB94" s="40">
        <v>45358.0</v>
      </c>
      <c r="BC94" s="35"/>
      <c r="BD94" s="42">
        <v>348.48</v>
      </c>
      <c r="BE94" s="46" t="s">
        <v>723</v>
      </c>
      <c r="BF94" s="31"/>
      <c r="BG94" s="30"/>
      <c r="BH94" s="30"/>
      <c r="BI94" s="31"/>
      <c r="BJ94" s="42">
        <v>378.36</v>
      </c>
      <c r="BK94" s="46" t="s">
        <v>724</v>
      </c>
      <c r="BL94" s="30"/>
      <c r="BM94" s="30"/>
    </row>
    <row r="95">
      <c r="A95" s="18" t="s">
        <v>25</v>
      </c>
      <c r="B95" s="18" t="s">
        <v>725</v>
      </c>
      <c r="C95" s="19" t="s">
        <v>726</v>
      </c>
      <c r="D95" s="19" t="s">
        <v>67</v>
      </c>
      <c r="E95" s="19" t="s">
        <v>68</v>
      </c>
      <c r="F95" s="20">
        <v>2000.0</v>
      </c>
      <c r="G95" s="21">
        <v>4.0</v>
      </c>
      <c r="H95" s="21">
        <v>358.0</v>
      </c>
      <c r="I95" s="21">
        <v>1432.0</v>
      </c>
      <c r="J95" s="45"/>
      <c r="K95" s="23">
        <v>435.07</v>
      </c>
      <c r="L95" s="24">
        <v>94.0</v>
      </c>
      <c r="M95" s="25" t="s">
        <v>69</v>
      </c>
      <c r="N95" s="25" t="s">
        <v>70</v>
      </c>
      <c r="O95" s="25">
        <v>2.1000000443E10</v>
      </c>
      <c r="P95" s="26" t="s">
        <v>727</v>
      </c>
      <c r="Q95" s="27" t="s">
        <v>728</v>
      </c>
      <c r="R95" s="28" t="s">
        <v>208</v>
      </c>
      <c r="S95" s="29">
        <f t="shared" si="1"/>
        <v>9</v>
      </c>
      <c r="T95" s="30"/>
      <c r="U95" s="30"/>
      <c r="V95" s="30"/>
      <c r="W95" s="30"/>
      <c r="X95" s="30"/>
      <c r="Y95" s="30"/>
      <c r="Z95" s="29">
        <f>4+4</f>
        <v>8</v>
      </c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8">
        <v>1.0</v>
      </c>
      <c r="AP95" s="30"/>
      <c r="AQ95" s="30"/>
      <c r="AR95" s="30"/>
      <c r="AS95" s="31"/>
      <c r="AT95" s="38" t="s">
        <v>678</v>
      </c>
      <c r="AU95" s="32">
        <f t="shared" si="2"/>
        <v>360.6533333</v>
      </c>
      <c r="AV95" s="33">
        <f t="shared" si="3"/>
        <v>468.8493333</v>
      </c>
      <c r="AW95" s="34"/>
      <c r="AX95" s="42">
        <v>348.05</v>
      </c>
      <c r="AY95" s="46" t="s">
        <v>729</v>
      </c>
      <c r="AZ95" s="34"/>
      <c r="BA95" s="30"/>
      <c r="BB95" s="40">
        <v>45358.0</v>
      </c>
      <c r="BC95" s="35"/>
      <c r="BD95" s="42">
        <v>405.47</v>
      </c>
      <c r="BE95" s="46" t="s">
        <v>730</v>
      </c>
      <c r="BF95" s="31"/>
      <c r="BG95" s="30"/>
      <c r="BH95" s="30"/>
      <c r="BI95" s="31"/>
      <c r="BJ95" s="42">
        <v>328.44</v>
      </c>
      <c r="BK95" s="46" t="s">
        <v>731</v>
      </c>
      <c r="BL95" s="30"/>
      <c r="BM95" s="30"/>
    </row>
    <row r="96">
      <c r="A96" s="18" t="s">
        <v>36</v>
      </c>
      <c r="B96" s="18" t="s">
        <v>732</v>
      </c>
      <c r="C96" s="19" t="s">
        <v>733</v>
      </c>
      <c r="D96" s="19" t="s">
        <v>67</v>
      </c>
      <c r="E96" s="19" t="s">
        <v>68</v>
      </c>
      <c r="F96" s="20">
        <v>1.0</v>
      </c>
      <c r="G96" s="21">
        <v>1.0</v>
      </c>
      <c r="H96" s="21">
        <v>488.0</v>
      </c>
      <c r="I96" s="21">
        <v>488.0</v>
      </c>
      <c r="J96" s="45"/>
      <c r="K96" s="23">
        <v>647.3</v>
      </c>
      <c r="L96" s="24">
        <v>95.0</v>
      </c>
      <c r="M96" s="25" t="s">
        <v>69</v>
      </c>
      <c r="N96" s="25" t="s">
        <v>70</v>
      </c>
      <c r="O96" s="25">
        <v>2.1000000645E10</v>
      </c>
      <c r="P96" s="26" t="s">
        <v>734</v>
      </c>
      <c r="Q96" s="27" t="s">
        <v>735</v>
      </c>
      <c r="R96" s="28" t="s">
        <v>208</v>
      </c>
      <c r="S96" s="29">
        <f t="shared" si="1"/>
        <v>1</v>
      </c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29">
        <v>1.0</v>
      </c>
      <c r="AL96" s="30"/>
      <c r="AM96" s="30"/>
      <c r="AN96" s="30"/>
      <c r="AO96" s="30"/>
      <c r="AP96" s="30"/>
      <c r="AQ96" s="30"/>
      <c r="AR96" s="30"/>
      <c r="AS96" s="31"/>
      <c r="AT96" s="38" t="s">
        <v>678</v>
      </c>
      <c r="AU96" s="32">
        <f t="shared" si="2"/>
        <v>578.44</v>
      </c>
      <c r="AV96" s="33">
        <f t="shared" si="3"/>
        <v>751.972</v>
      </c>
      <c r="AW96" s="34"/>
      <c r="AX96" s="42">
        <v>634.6</v>
      </c>
      <c r="AY96" s="46" t="s">
        <v>736</v>
      </c>
      <c r="AZ96" s="34"/>
      <c r="BA96" s="30"/>
      <c r="BB96" s="40">
        <v>45358.0</v>
      </c>
      <c r="BC96" s="35"/>
      <c r="BD96" s="42">
        <v>486.72</v>
      </c>
      <c r="BE96" s="46" t="s">
        <v>737</v>
      </c>
      <c r="BF96" s="31"/>
      <c r="BG96" s="30"/>
      <c r="BH96" s="30"/>
      <c r="BI96" s="31"/>
      <c r="BJ96" s="42">
        <v>614.0</v>
      </c>
      <c r="BK96" s="46" t="s">
        <v>738</v>
      </c>
      <c r="BL96" s="30"/>
      <c r="BM96" s="30"/>
    </row>
    <row r="97">
      <c r="A97" s="18" t="s">
        <v>25</v>
      </c>
      <c r="B97" s="18" t="s">
        <v>739</v>
      </c>
      <c r="C97" s="19" t="s">
        <v>740</v>
      </c>
      <c r="D97" s="19" t="s">
        <v>67</v>
      </c>
      <c r="E97" s="19" t="s">
        <v>68</v>
      </c>
      <c r="F97" s="20">
        <v>1.0</v>
      </c>
      <c r="G97" s="21">
        <v>1.0</v>
      </c>
      <c r="H97" s="21">
        <v>250.0</v>
      </c>
      <c r="I97" s="21">
        <v>250.0</v>
      </c>
      <c r="J97" s="45"/>
      <c r="K97" s="23">
        <v>462.23</v>
      </c>
      <c r="L97" s="24">
        <v>96.0</v>
      </c>
      <c r="M97" s="25" t="s">
        <v>69</v>
      </c>
      <c r="N97" s="25" t="s">
        <v>70</v>
      </c>
      <c r="O97" s="25">
        <v>2.1000000479E10</v>
      </c>
      <c r="P97" s="26" t="s">
        <v>741</v>
      </c>
      <c r="Q97" s="27" t="s">
        <v>742</v>
      </c>
      <c r="R97" s="28" t="s">
        <v>208</v>
      </c>
      <c r="S97" s="29">
        <f t="shared" si="1"/>
        <v>2</v>
      </c>
      <c r="T97" s="30"/>
      <c r="U97" s="30"/>
      <c r="V97" s="30"/>
      <c r="W97" s="30"/>
      <c r="X97" s="30"/>
      <c r="Y97" s="30"/>
      <c r="Z97" s="29">
        <v>1.0</v>
      </c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8">
        <v>1.0</v>
      </c>
      <c r="AP97" s="30"/>
      <c r="AQ97" s="30"/>
      <c r="AR97" s="30"/>
      <c r="AS97" s="31"/>
      <c r="AT97" s="38" t="s">
        <v>678</v>
      </c>
      <c r="AU97" s="32">
        <f t="shared" si="2"/>
        <v>385.6333333</v>
      </c>
      <c r="AV97" s="33">
        <f t="shared" si="3"/>
        <v>501.3233333</v>
      </c>
      <c r="AW97" s="34"/>
      <c r="AX97" s="42">
        <v>353.84</v>
      </c>
      <c r="AY97" s="46" t="s">
        <v>743</v>
      </c>
      <c r="AZ97" s="34"/>
      <c r="BA97" s="30"/>
      <c r="BB97" s="40">
        <v>45358.0</v>
      </c>
      <c r="BC97" s="35"/>
      <c r="BD97" s="42">
        <v>396.0</v>
      </c>
      <c r="BE97" s="46" t="s">
        <v>744</v>
      </c>
      <c r="BF97" s="31"/>
      <c r="BG97" s="30"/>
      <c r="BH97" s="30"/>
      <c r="BI97" s="31"/>
      <c r="BJ97" s="42">
        <v>407.06</v>
      </c>
      <c r="BK97" s="46" t="s">
        <v>745</v>
      </c>
      <c r="BL97" s="30"/>
      <c r="BM97" s="30"/>
    </row>
    <row r="98">
      <c r="A98" s="18" t="s">
        <v>40</v>
      </c>
      <c r="B98" s="48" t="s">
        <v>746</v>
      </c>
      <c r="C98" s="53">
        <v>456857.0</v>
      </c>
      <c r="D98" s="19" t="s">
        <v>67</v>
      </c>
      <c r="E98" s="19" t="s">
        <v>68</v>
      </c>
      <c r="F98" s="20">
        <v>1.0</v>
      </c>
      <c r="G98" s="21">
        <v>1.0</v>
      </c>
      <c r="H98" s="21">
        <v>482.0</v>
      </c>
      <c r="I98" s="21">
        <v>482.0</v>
      </c>
      <c r="J98" s="45"/>
      <c r="K98" s="23">
        <v>441.73</v>
      </c>
      <c r="L98" s="24">
        <v>97.0</v>
      </c>
      <c r="M98" s="25" t="s">
        <v>69</v>
      </c>
      <c r="N98" s="25" t="s">
        <v>70</v>
      </c>
      <c r="O98" s="25">
        <v>2.1000000444E10</v>
      </c>
      <c r="P98" s="26" t="s">
        <v>747</v>
      </c>
      <c r="Q98" s="27" t="s">
        <v>748</v>
      </c>
      <c r="R98" s="28" t="s">
        <v>208</v>
      </c>
      <c r="S98" s="29">
        <f t="shared" si="1"/>
        <v>1</v>
      </c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29">
        <v>1.0</v>
      </c>
      <c r="AP98" s="30"/>
      <c r="AQ98" s="30"/>
      <c r="AR98" s="30"/>
      <c r="AS98" s="31"/>
      <c r="AT98" s="38" t="s">
        <v>678</v>
      </c>
      <c r="AU98" s="32">
        <f t="shared" si="2"/>
        <v>453.61</v>
      </c>
      <c r="AV98" s="33">
        <f t="shared" si="3"/>
        <v>589.693</v>
      </c>
      <c r="AW98" s="34"/>
      <c r="AX98" s="82">
        <v>399.0</v>
      </c>
      <c r="AY98" s="39" t="s">
        <v>749</v>
      </c>
      <c r="AZ98" s="34"/>
      <c r="BA98" s="30"/>
      <c r="BB98" s="40">
        <v>45358.0</v>
      </c>
      <c r="BC98" s="35"/>
      <c r="BD98" s="42">
        <v>402.93</v>
      </c>
      <c r="BE98" s="46" t="s">
        <v>750</v>
      </c>
      <c r="BF98" s="31"/>
      <c r="BG98" s="30"/>
      <c r="BH98" s="30"/>
      <c r="BI98" s="31"/>
      <c r="BJ98" s="42">
        <v>558.9</v>
      </c>
      <c r="BK98" s="46" t="s">
        <v>751</v>
      </c>
      <c r="BL98" s="30"/>
      <c r="BM98" s="30"/>
    </row>
    <row r="99">
      <c r="A99" s="18" t="s">
        <v>40</v>
      </c>
      <c r="B99" s="18" t="s">
        <v>752</v>
      </c>
      <c r="C99" s="19" t="s">
        <v>753</v>
      </c>
      <c r="D99" s="19" t="s">
        <v>67</v>
      </c>
      <c r="E99" s="19" t="s">
        <v>68</v>
      </c>
      <c r="F99" s="20">
        <v>1.0</v>
      </c>
      <c r="G99" s="21">
        <v>1.0</v>
      </c>
      <c r="H99" s="21">
        <v>520.0</v>
      </c>
      <c r="I99" s="21">
        <v>520.0</v>
      </c>
      <c r="J99" s="36"/>
      <c r="K99" s="23">
        <v>309.12</v>
      </c>
      <c r="L99" s="24">
        <v>98.0</v>
      </c>
      <c r="M99" s="25" t="s">
        <v>69</v>
      </c>
      <c r="N99" s="25" t="s">
        <v>70</v>
      </c>
      <c r="O99" s="25">
        <v>2.1000000647E10</v>
      </c>
      <c r="P99" s="26" t="s">
        <v>754</v>
      </c>
      <c r="Q99" s="27" t="s">
        <v>755</v>
      </c>
      <c r="R99" s="28" t="s">
        <v>208</v>
      </c>
      <c r="S99" s="29">
        <f t="shared" si="1"/>
        <v>1</v>
      </c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29">
        <v>1.0</v>
      </c>
      <c r="AP99" s="30"/>
      <c r="AQ99" s="30"/>
      <c r="AR99" s="30"/>
      <c r="AS99" s="31"/>
      <c r="AT99" s="38" t="s">
        <v>678</v>
      </c>
      <c r="AU99" s="32">
        <f t="shared" si="2"/>
        <v>255.8666667</v>
      </c>
      <c r="AV99" s="33">
        <f t="shared" si="3"/>
        <v>332.6266667</v>
      </c>
      <c r="AW99" s="34"/>
      <c r="AX99" s="42">
        <v>266.5</v>
      </c>
      <c r="AY99" s="46" t="s">
        <v>756</v>
      </c>
      <c r="AZ99" s="34"/>
      <c r="BA99" s="30"/>
      <c r="BB99" s="40">
        <v>45358.0</v>
      </c>
      <c r="BC99" s="35"/>
      <c r="BD99" s="42">
        <v>260.0</v>
      </c>
      <c r="BE99" s="46" t="s">
        <v>757</v>
      </c>
      <c r="BF99" s="31"/>
      <c r="BG99" s="30"/>
      <c r="BH99" s="30"/>
      <c r="BI99" s="31"/>
      <c r="BJ99" s="42">
        <v>241.1</v>
      </c>
      <c r="BK99" s="46" t="s">
        <v>758</v>
      </c>
      <c r="BL99" s="30"/>
      <c r="BM99" s="30"/>
    </row>
    <row r="100">
      <c r="A100" s="18" t="s">
        <v>25</v>
      </c>
      <c r="B100" s="18" t="s">
        <v>759</v>
      </c>
      <c r="C100" s="19" t="s">
        <v>760</v>
      </c>
      <c r="D100" s="19" t="s">
        <v>67</v>
      </c>
      <c r="E100" s="19" t="s">
        <v>68</v>
      </c>
      <c r="F100" s="20">
        <v>1.0</v>
      </c>
      <c r="G100" s="21">
        <v>1.0</v>
      </c>
      <c r="H100" s="21">
        <v>421.0</v>
      </c>
      <c r="I100" s="21">
        <v>421.0</v>
      </c>
      <c r="J100" s="45"/>
      <c r="K100" s="23">
        <v>348.43</v>
      </c>
      <c r="L100" s="24">
        <v>99.0</v>
      </c>
      <c r="M100" s="25" t="s">
        <v>69</v>
      </c>
      <c r="N100" s="25" t="s">
        <v>70</v>
      </c>
      <c r="O100" s="25">
        <v>2.100000048E10</v>
      </c>
      <c r="P100" s="26" t="s">
        <v>761</v>
      </c>
      <c r="Q100" s="27" t="s">
        <v>762</v>
      </c>
      <c r="R100" s="28" t="s">
        <v>208</v>
      </c>
      <c r="S100" s="29">
        <f t="shared" si="1"/>
        <v>2</v>
      </c>
      <c r="T100" s="30"/>
      <c r="U100" s="30"/>
      <c r="V100" s="30"/>
      <c r="W100" s="30"/>
      <c r="X100" s="30"/>
      <c r="Y100" s="30"/>
      <c r="Z100" s="29">
        <v>1.0</v>
      </c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8">
        <v>1.0</v>
      </c>
      <c r="AP100" s="30"/>
      <c r="AQ100" s="30"/>
      <c r="AR100" s="30"/>
      <c r="AS100" s="31"/>
      <c r="AT100" s="38" t="s">
        <v>678</v>
      </c>
      <c r="AU100" s="32">
        <f t="shared" si="2"/>
        <v>258.87</v>
      </c>
      <c r="AV100" s="33">
        <f t="shared" si="3"/>
        <v>336.531</v>
      </c>
      <c r="AW100" s="34"/>
      <c r="AX100" s="83">
        <v>354.11</v>
      </c>
      <c r="AY100" s="46" t="s">
        <v>763</v>
      </c>
      <c r="AZ100" s="34"/>
      <c r="BA100" s="30"/>
      <c r="BB100" s="40">
        <v>45358.0</v>
      </c>
      <c r="BC100" s="35"/>
      <c r="BD100" s="42">
        <v>216.03</v>
      </c>
      <c r="BE100" s="46" t="s">
        <v>764</v>
      </c>
      <c r="BF100" s="31"/>
      <c r="BG100" s="30"/>
      <c r="BH100" s="30"/>
      <c r="BI100" s="31"/>
      <c r="BJ100" s="42">
        <v>206.47</v>
      </c>
      <c r="BK100" s="46" t="s">
        <v>765</v>
      </c>
      <c r="BL100" s="30"/>
      <c r="BM100" s="30"/>
    </row>
    <row r="101">
      <c r="A101" s="18" t="s">
        <v>25</v>
      </c>
      <c r="B101" s="18" t="s">
        <v>766</v>
      </c>
      <c r="C101" s="19" t="s">
        <v>767</v>
      </c>
      <c r="D101" s="19" t="s">
        <v>67</v>
      </c>
      <c r="E101" s="19" t="s">
        <v>68</v>
      </c>
      <c r="F101" s="20">
        <v>2000.0</v>
      </c>
      <c r="G101" s="21">
        <v>4.0</v>
      </c>
      <c r="H101" s="21">
        <v>375.0</v>
      </c>
      <c r="I101" s="21">
        <v>1500.0</v>
      </c>
      <c r="J101" s="45"/>
      <c r="K101" s="23">
        <v>717.66</v>
      </c>
      <c r="L101" s="24">
        <v>100.0</v>
      </c>
      <c r="M101" s="25" t="s">
        <v>69</v>
      </c>
      <c r="N101" s="25" t="s">
        <v>70</v>
      </c>
      <c r="O101" s="25">
        <v>2.1000000648E10</v>
      </c>
      <c r="P101" s="26" t="s">
        <v>768</v>
      </c>
      <c r="Q101" s="27" t="s">
        <v>769</v>
      </c>
      <c r="R101" s="28" t="s">
        <v>208</v>
      </c>
      <c r="S101" s="29">
        <f t="shared" si="1"/>
        <v>8</v>
      </c>
      <c r="T101" s="30"/>
      <c r="U101" s="30"/>
      <c r="V101" s="30"/>
      <c r="W101" s="30"/>
      <c r="X101" s="30"/>
      <c r="Y101" s="30"/>
      <c r="Z101" s="29">
        <f>4+4</f>
        <v>8</v>
      </c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1"/>
      <c r="AT101" s="38" t="s">
        <v>678</v>
      </c>
      <c r="AU101" s="32">
        <f t="shared" si="2"/>
        <v>654.7733333</v>
      </c>
      <c r="AV101" s="33">
        <f t="shared" si="3"/>
        <v>851.2053333</v>
      </c>
      <c r="AW101" s="34"/>
      <c r="AX101" s="42">
        <v>671.85</v>
      </c>
      <c r="AY101" s="46" t="s">
        <v>770</v>
      </c>
      <c r="AZ101" s="34"/>
      <c r="BA101" s="30"/>
      <c r="BB101" s="40">
        <v>45358.0</v>
      </c>
      <c r="BC101" s="35"/>
      <c r="BD101" s="42">
        <v>654.0</v>
      </c>
      <c r="BE101" s="46" t="s">
        <v>771</v>
      </c>
      <c r="BF101" s="31"/>
      <c r="BG101" s="30"/>
      <c r="BH101" s="30"/>
      <c r="BI101" s="31"/>
      <c r="BJ101" s="42">
        <v>638.47</v>
      </c>
      <c r="BK101" s="39" t="s">
        <v>772</v>
      </c>
      <c r="BL101" s="30"/>
      <c r="BM101" s="30"/>
    </row>
    <row r="102">
      <c r="A102" s="18" t="s">
        <v>25</v>
      </c>
      <c r="B102" s="18" t="s">
        <v>773</v>
      </c>
      <c r="C102" s="19" t="s">
        <v>774</v>
      </c>
      <c r="D102" s="19" t="s">
        <v>67</v>
      </c>
      <c r="E102" s="19" t="s">
        <v>68</v>
      </c>
      <c r="F102" s="20">
        <v>1.0</v>
      </c>
      <c r="G102" s="21">
        <v>1.0</v>
      </c>
      <c r="H102" s="21">
        <v>266.5</v>
      </c>
      <c r="I102" s="21">
        <v>266.5</v>
      </c>
      <c r="J102" s="45"/>
      <c r="K102" s="23">
        <v>148.03</v>
      </c>
      <c r="L102" s="24">
        <v>101.0</v>
      </c>
      <c r="M102" s="25" t="s">
        <v>69</v>
      </c>
      <c r="N102" s="25" t="s">
        <v>70</v>
      </c>
      <c r="O102" s="25">
        <v>2.100000055E10</v>
      </c>
      <c r="P102" s="26" t="s">
        <v>775</v>
      </c>
      <c r="Q102" s="27" t="s">
        <v>776</v>
      </c>
      <c r="R102" s="28" t="s">
        <v>208</v>
      </c>
      <c r="S102" s="29">
        <f t="shared" si="1"/>
        <v>2</v>
      </c>
      <c r="T102" s="30"/>
      <c r="U102" s="30"/>
      <c r="V102" s="30"/>
      <c r="W102" s="30"/>
      <c r="X102" s="30"/>
      <c r="Y102" s="30"/>
      <c r="Z102" s="28">
        <v>2.0</v>
      </c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1"/>
      <c r="AT102" s="38" t="s">
        <v>678</v>
      </c>
      <c r="AU102" s="32">
        <f t="shared" si="2"/>
        <v>123.6233333</v>
      </c>
      <c r="AV102" s="33">
        <f t="shared" si="3"/>
        <v>160.7103333</v>
      </c>
      <c r="AW102" s="34"/>
      <c r="AX102" s="42">
        <f>91.18</f>
        <v>91.18</v>
      </c>
      <c r="AY102" s="46" t="s">
        <v>777</v>
      </c>
      <c r="AZ102" s="34"/>
      <c r="BA102" s="30"/>
      <c r="BB102" s="40">
        <v>45358.0</v>
      </c>
      <c r="BC102" s="35"/>
      <c r="BD102" s="42">
        <f>129</f>
        <v>129</v>
      </c>
      <c r="BE102" s="46" t="s">
        <v>778</v>
      </c>
      <c r="BF102" s="31"/>
      <c r="BG102" s="30"/>
      <c r="BH102" s="30"/>
      <c r="BI102" s="31"/>
      <c r="BJ102" s="42">
        <f>150.69</f>
        <v>150.69</v>
      </c>
      <c r="BK102" s="46" t="s">
        <v>779</v>
      </c>
      <c r="BL102" s="30"/>
      <c r="BM102" s="30"/>
    </row>
    <row r="103">
      <c r="A103" s="18" t="s">
        <v>25</v>
      </c>
      <c r="B103" s="18" t="s">
        <v>780</v>
      </c>
      <c r="C103" s="19" t="s">
        <v>781</v>
      </c>
      <c r="D103" s="19" t="s">
        <v>67</v>
      </c>
      <c r="E103" s="19" t="s">
        <v>68</v>
      </c>
      <c r="F103" s="20">
        <v>500.0</v>
      </c>
      <c r="G103" s="21">
        <v>1.0</v>
      </c>
      <c r="H103" s="21">
        <v>0.0</v>
      </c>
      <c r="I103" s="21">
        <v>0.0</v>
      </c>
      <c r="J103" s="45"/>
      <c r="K103" s="23">
        <v>0.15</v>
      </c>
      <c r="L103" s="24">
        <v>102.0</v>
      </c>
      <c r="M103" s="25" t="s">
        <v>69</v>
      </c>
      <c r="N103" s="25" t="s">
        <v>70</v>
      </c>
      <c r="O103" s="25">
        <v>2.1000000235E10</v>
      </c>
      <c r="P103" s="26" t="s">
        <v>782</v>
      </c>
      <c r="Q103" s="27" t="s">
        <v>783</v>
      </c>
      <c r="R103" s="28" t="s">
        <v>79</v>
      </c>
      <c r="S103" s="29">
        <f t="shared" si="1"/>
        <v>500</v>
      </c>
      <c r="T103" s="84" t="s">
        <v>784</v>
      </c>
      <c r="U103" s="30"/>
      <c r="V103" s="30"/>
      <c r="W103" s="30"/>
      <c r="X103" s="30"/>
      <c r="Y103" s="30"/>
      <c r="Z103" s="28">
        <v>500.0</v>
      </c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1"/>
      <c r="AT103" s="38" t="s">
        <v>678</v>
      </c>
      <c r="AU103" s="32">
        <f t="shared" si="2"/>
        <v>0.1043266667</v>
      </c>
      <c r="AV103" s="33">
        <f t="shared" si="3"/>
        <v>0.1356246667</v>
      </c>
      <c r="AW103" s="34"/>
      <c r="AX103" s="32">
        <f>56.98/500</f>
        <v>0.11396</v>
      </c>
      <c r="AY103" s="46" t="s">
        <v>785</v>
      </c>
      <c r="AZ103" s="34"/>
      <c r="BA103" s="30"/>
      <c r="BB103" s="40">
        <v>45358.0</v>
      </c>
      <c r="BC103" s="35"/>
      <c r="BD103" s="32">
        <f>48.15/500</f>
        <v>0.0963</v>
      </c>
      <c r="BE103" s="46" t="s">
        <v>786</v>
      </c>
      <c r="BF103" s="31"/>
      <c r="BG103" s="30"/>
      <c r="BH103" s="30"/>
      <c r="BI103" s="31"/>
      <c r="BJ103" s="32">
        <f>51.36 /500</f>
        <v>0.10272</v>
      </c>
      <c r="BK103" s="49"/>
      <c r="BL103" s="30"/>
      <c r="BM103" s="30"/>
    </row>
    <row r="104">
      <c r="A104" s="18" t="s">
        <v>25</v>
      </c>
      <c r="B104" s="18" t="s">
        <v>787</v>
      </c>
      <c r="C104" s="19" t="s">
        <v>788</v>
      </c>
      <c r="D104" s="19" t="s">
        <v>67</v>
      </c>
      <c r="E104" s="19" t="s">
        <v>68</v>
      </c>
      <c r="F104" s="20">
        <v>250.0</v>
      </c>
      <c r="G104" s="21">
        <v>1.0</v>
      </c>
      <c r="H104" s="21">
        <v>0.0</v>
      </c>
      <c r="I104" s="21">
        <v>0.0</v>
      </c>
      <c r="J104" s="45"/>
      <c r="K104" s="23">
        <v>0.15</v>
      </c>
      <c r="L104" s="24">
        <v>103.0</v>
      </c>
      <c r="M104" s="25" t="s">
        <v>69</v>
      </c>
      <c r="N104" s="25" t="s">
        <v>70</v>
      </c>
      <c r="O104" s="25">
        <v>2.1000000239E10</v>
      </c>
      <c r="P104" s="26" t="s">
        <v>789</v>
      </c>
      <c r="Q104" s="27" t="s">
        <v>790</v>
      </c>
      <c r="R104" s="28" t="s">
        <v>79</v>
      </c>
      <c r="S104" s="29">
        <f t="shared" si="1"/>
        <v>250</v>
      </c>
      <c r="T104" s="30"/>
      <c r="U104" s="30"/>
      <c r="V104" s="30"/>
      <c r="W104" s="30"/>
      <c r="X104" s="30"/>
      <c r="Y104" s="30"/>
      <c r="Z104" s="28">
        <v>250.0</v>
      </c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1"/>
      <c r="AT104" s="38" t="s">
        <v>678</v>
      </c>
      <c r="AU104" s="32">
        <f t="shared" si="2"/>
        <v>0.15224</v>
      </c>
      <c r="AV104" s="33">
        <f t="shared" si="3"/>
        <v>0.197912</v>
      </c>
      <c r="AW104" s="34"/>
      <c r="AX104" s="32">
        <f>38.23/250</f>
        <v>0.15292</v>
      </c>
      <c r="AY104" s="46" t="s">
        <v>791</v>
      </c>
      <c r="AZ104" s="34"/>
      <c r="BA104" s="30"/>
      <c r="BB104" s="40">
        <v>45358.0</v>
      </c>
      <c r="BC104" s="35"/>
      <c r="BD104" s="32">
        <f>37.72/250</f>
        <v>0.15088</v>
      </c>
      <c r="BE104" s="46" t="s">
        <v>792</v>
      </c>
      <c r="BF104" s="31"/>
      <c r="BG104" s="30"/>
      <c r="BH104" s="30"/>
      <c r="BI104" s="31"/>
      <c r="BJ104" s="32">
        <f>38.23/250</f>
        <v>0.15292</v>
      </c>
      <c r="BK104" s="46" t="s">
        <v>793</v>
      </c>
      <c r="BL104" s="30"/>
      <c r="BM104" s="30"/>
    </row>
    <row r="105">
      <c r="A105" s="18" t="s">
        <v>21</v>
      </c>
      <c r="B105" s="18" t="s">
        <v>794</v>
      </c>
      <c r="C105" s="19" t="s">
        <v>795</v>
      </c>
      <c r="D105" s="19" t="s">
        <v>67</v>
      </c>
      <c r="E105" s="19" t="s">
        <v>68</v>
      </c>
      <c r="F105" s="20">
        <v>500.0</v>
      </c>
      <c r="G105" s="21">
        <v>500.0</v>
      </c>
      <c r="H105" s="21">
        <v>0.04</v>
      </c>
      <c r="I105" s="21">
        <v>20.0</v>
      </c>
      <c r="J105" s="45"/>
      <c r="K105" s="23">
        <v>0.03</v>
      </c>
      <c r="L105" s="24">
        <v>104.0</v>
      </c>
      <c r="M105" s="25" t="s">
        <v>69</v>
      </c>
      <c r="N105" s="25" t="s">
        <v>70</v>
      </c>
      <c r="O105" s="25">
        <v>2.1000000243E10</v>
      </c>
      <c r="P105" s="26" t="s">
        <v>796</v>
      </c>
      <c r="Q105" s="27" t="s">
        <v>797</v>
      </c>
      <c r="R105" s="28" t="s">
        <v>79</v>
      </c>
      <c r="S105" s="29">
        <f t="shared" si="1"/>
        <v>1000</v>
      </c>
      <c r="T105" s="30"/>
      <c r="U105" s="30"/>
      <c r="V105" s="29">
        <v>500.0</v>
      </c>
      <c r="W105" s="30"/>
      <c r="X105" s="30"/>
      <c r="Y105" s="30"/>
      <c r="Z105" s="38">
        <v>500.0</v>
      </c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1"/>
      <c r="AT105" s="38" t="s">
        <v>678</v>
      </c>
      <c r="AU105" s="32">
        <f t="shared" si="2"/>
        <v>0.03256666667</v>
      </c>
      <c r="AV105" s="33">
        <f t="shared" si="3"/>
        <v>0.04233666667</v>
      </c>
      <c r="AW105" s="34"/>
      <c r="AX105" s="32">
        <f>18.09/500</f>
        <v>0.03618</v>
      </c>
      <c r="AY105" s="46" t="s">
        <v>798</v>
      </c>
      <c r="AZ105" s="34"/>
      <c r="BA105" s="30"/>
      <c r="BB105" s="40">
        <v>45358.0</v>
      </c>
      <c r="BC105" s="35"/>
      <c r="BD105" s="32">
        <f>15.18/500</f>
        <v>0.03036</v>
      </c>
      <c r="BE105" s="46" t="s">
        <v>799</v>
      </c>
      <c r="BF105" s="31"/>
      <c r="BG105" s="30"/>
      <c r="BH105" s="30"/>
      <c r="BI105" s="31"/>
      <c r="BJ105" s="32">
        <f>15.58/500</f>
        <v>0.03116</v>
      </c>
      <c r="BK105" s="46" t="s">
        <v>800</v>
      </c>
      <c r="BL105" s="30"/>
      <c r="BM105" s="30"/>
    </row>
    <row r="106">
      <c r="A106" s="18" t="s">
        <v>25</v>
      </c>
      <c r="B106" s="18" t="s">
        <v>801</v>
      </c>
      <c r="C106" s="19" t="s">
        <v>802</v>
      </c>
      <c r="D106" s="19" t="s">
        <v>67</v>
      </c>
      <c r="E106" s="19" t="s">
        <v>68</v>
      </c>
      <c r="F106" s="20">
        <v>500.0</v>
      </c>
      <c r="G106" s="21">
        <v>1.0</v>
      </c>
      <c r="H106" s="21">
        <v>266.0</v>
      </c>
      <c r="I106" s="21">
        <v>266.0</v>
      </c>
      <c r="J106" s="45"/>
      <c r="K106" s="23">
        <v>0.43</v>
      </c>
      <c r="L106" s="24">
        <v>105.0</v>
      </c>
      <c r="M106" s="25" t="s">
        <v>69</v>
      </c>
      <c r="N106" s="25" t="s">
        <v>70</v>
      </c>
      <c r="O106" s="25">
        <v>2.1000000569E10</v>
      </c>
      <c r="P106" s="26" t="s">
        <v>803</v>
      </c>
      <c r="Q106" s="27" t="s">
        <v>804</v>
      </c>
      <c r="R106" s="28" t="s">
        <v>79</v>
      </c>
      <c r="S106" s="29">
        <f t="shared" si="1"/>
        <v>500</v>
      </c>
      <c r="T106" s="30"/>
      <c r="U106" s="30"/>
      <c r="V106" s="30"/>
      <c r="W106" s="30"/>
      <c r="X106" s="30"/>
      <c r="Y106" s="30"/>
      <c r="Z106" s="28">
        <v>500.0</v>
      </c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1"/>
      <c r="AT106" s="38" t="s">
        <v>805</v>
      </c>
      <c r="AU106" s="32">
        <f t="shared" si="2"/>
        <v>0.4315733333</v>
      </c>
      <c r="AV106" s="33">
        <f t="shared" si="3"/>
        <v>0.5610453333</v>
      </c>
      <c r="AW106" s="34"/>
      <c r="AX106" s="32">
        <f>133.68/250</f>
        <v>0.53472</v>
      </c>
      <c r="AY106" s="46" t="s">
        <v>806</v>
      </c>
      <c r="AZ106" s="34"/>
      <c r="BA106" s="30"/>
      <c r="BB106" s="40">
        <v>45359.0</v>
      </c>
      <c r="BC106" s="35"/>
      <c r="BD106" s="32">
        <f>100/250</f>
        <v>0.4</v>
      </c>
      <c r="BE106" s="39" t="s">
        <v>807</v>
      </c>
      <c r="BF106" s="31"/>
      <c r="BG106" s="30"/>
      <c r="BH106" s="30"/>
      <c r="BI106" s="31"/>
      <c r="BJ106" s="32">
        <f>90/250</f>
        <v>0.36</v>
      </c>
      <c r="BK106" s="46" t="s">
        <v>808</v>
      </c>
      <c r="BL106" s="30"/>
      <c r="BM106" s="30"/>
    </row>
    <row r="107">
      <c r="A107" s="18" t="s">
        <v>41</v>
      </c>
      <c r="B107" s="18" t="s">
        <v>809</v>
      </c>
      <c r="C107" s="19" t="s">
        <v>810</v>
      </c>
      <c r="D107" s="19" t="s">
        <v>67</v>
      </c>
      <c r="E107" s="19" t="s">
        <v>68</v>
      </c>
      <c r="F107" s="20">
        <v>250.0</v>
      </c>
      <c r="G107" s="21">
        <v>250.0</v>
      </c>
      <c r="H107" s="21">
        <v>0.71</v>
      </c>
      <c r="I107" s="21">
        <v>177.5</v>
      </c>
      <c r="J107" s="45"/>
      <c r="K107" s="23">
        <v>304.85</v>
      </c>
      <c r="L107" s="24">
        <v>106.0</v>
      </c>
      <c r="M107" s="25" t="s">
        <v>69</v>
      </c>
      <c r="N107" s="25" t="s">
        <v>70</v>
      </c>
      <c r="O107" s="25">
        <v>2.1000000244E10</v>
      </c>
      <c r="P107" s="26" t="s">
        <v>811</v>
      </c>
      <c r="Q107" s="27" t="s">
        <v>812</v>
      </c>
      <c r="R107" s="28" t="s">
        <v>208</v>
      </c>
      <c r="S107" s="29">
        <f t="shared" si="1"/>
        <v>2</v>
      </c>
      <c r="T107" s="30"/>
      <c r="U107" s="30"/>
      <c r="V107" s="30"/>
      <c r="W107" s="30"/>
      <c r="X107" s="30"/>
      <c r="Y107" s="30"/>
      <c r="Z107" s="38">
        <v>1.0</v>
      </c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28">
        <v>1.0</v>
      </c>
      <c r="AQ107" s="30"/>
      <c r="AR107" s="30"/>
      <c r="AS107" s="31"/>
      <c r="AT107" s="38" t="s">
        <v>678</v>
      </c>
      <c r="AU107" s="32">
        <f t="shared" si="2"/>
        <v>265.5633333</v>
      </c>
      <c r="AV107" s="33">
        <f t="shared" si="3"/>
        <v>345.2323333</v>
      </c>
      <c r="AW107" s="34"/>
      <c r="AX107" s="42">
        <v>241.61</v>
      </c>
      <c r="AY107" s="46" t="s">
        <v>813</v>
      </c>
      <c r="AZ107" s="34"/>
      <c r="BA107" s="30"/>
      <c r="BB107" s="40">
        <v>45359.0</v>
      </c>
      <c r="BC107" s="35"/>
      <c r="BD107" s="42">
        <v>316.64</v>
      </c>
      <c r="BE107" s="46" t="s">
        <v>814</v>
      </c>
      <c r="BF107" s="31"/>
      <c r="BG107" s="30"/>
      <c r="BH107" s="30"/>
      <c r="BI107" s="31"/>
      <c r="BJ107" s="42">
        <v>238.44</v>
      </c>
      <c r="BK107" s="46" t="s">
        <v>815</v>
      </c>
      <c r="BL107" s="30"/>
      <c r="BM107" s="30"/>
    </row>
    <row r="108">
      <c r="A108" s="18" t="s">
        <v>25</v>
      </c>
      <c r="B108" s="18" t="s">
        <v>816</v>
      </c>
      <c r="C108" s="19" t="s">
        <v>817</v>
      </c>
      <c r="D108" s="19" t="s">
        <v>67</v>
      </c>
      <c r="E108" s="19" t="s">
        <v>68</v>
      </c>
      <c r="F108" s="20">
        <v>24000.0</v>
      </c>
      <c r="G108" s="21">
        <v>96.0</v>
      </c>
      <c r="H108" s="21">
        <v>60.0</v>
      </c>
      <c r="I108" s="21">
        <v>5760.0</v>
      </c>
      <c r="J108" s="45"/>
      <c r="K108" s="23">
        <v>0.08</v>
      </c>
      <c r="L108" s="24">
        <v>107.0</v>
      </c>
      <c r="M108" s="25" t="s">
        <v>69</v>
      </c>
      <c r="N108" s="25" t="s">
        <v>70</v>
      </c>
      <c r="O108" s="25">
        <v>2.1000000245E10</v>
      </c>
      <c r="P108" s="26" t="s">
        <v>818</v>
      </c>
      <c r="Q108" s="27" t="s">
        <v>819</v>
      </c>
      <c r="R108" s="28" t="s">
        <v>79</v>
      </c>
      <c r="S108" s="29">
        <f t="shared" si="1"/>
        <v>250</v>
      </c>
      <c r="T108" s="30"/>
      <c r="U108" s="30"/>
      <c r="V108" s="30"/>
      <c r="W108" s="30"/>
      <c r="X108" s="30"/>
      <c r="Y108" s="30"/>
      <c r="Z108" s="28">
        <v>250.0</v>
      </c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1"/>
      <c r="AT108" s="38" t="s">
        <v>678</v>
      </c>
      <c r="AU108" s="32">
        <f t="shared" si="2"/>
        <v>0.0678</v>
      </c>
      <c r="AV108" s="33">
        <f t="shared" si="3"/>
        <v>0.08814</v>
      </c>
      <c r="AW108" s="34"/>
      <c r="AX108" s="32">
        <f>13.5/250</f>
        <v>0.054</v>
      </c>
      <c r="AY108" s="46" t="s">
        <v>820</v>
      </c>
      <c r="AZ108" s="34"/>
      <c r="BA108" s="30"/>
      <c r="BB108" s="40">
        <v>45359.0</v>
      </c>
      <c r="BC108" s="35"/>
      <c r="BD108" s="32">
        <f>20/250</f>
        <v>0.08</v>
      </c>
      <c r="BE108" s="46" t="s">
        <v>821</v>
      </c>
      <c r="BF108" s="31"/>
      <c r="BG108" s="30"/>
      <c r="BH108" s="30"/>
      <c r="BI108" s="31"/>
      <c r="BJ108" s="32">
        <f>17.35/250</f>
        <v>0.0694</v>
      </c>
      <c r="BK108" s="46" t="s">
        <v>822</v>
      </c>
      <c r="BL108" s="30"/>
      <c r="BM108" s="30"/>
    </row>
    <row r="109">
      <c r="A109" s="18" t="s">
        <v>25</v>
      </c>
      <c r="B109" s="18" t="s">
        <v>823</v>
      </c>
      <c r="C109" s="19" t="s">
        <v>824</v>
      </c>
      <c r="D109" s="19" t="s">
        <v>67</v>
      </c>
      <c r="E109" s="19" t="s">
        <v>68</v>
      </c>
      <c r="F109" s="20">
        <v>500.0</v>
      </c>
      <c r="G109" s="21">
        <v>1.0</v>
      </c>
      <c r="H109" s="21">
        <v>0.0</v>
      </c>
      <c r="I109" s="21">
        <v>0.0</v>
      </c>
      <c r="J109" s="45"/>
      <c r="K109" s="23">
        <v>0.09</v>
      </c>
      <c r="L109" s="24">
        <v>108.0</v>
      </c>
      <c r="M109" s="25" t="s">
        <v>69</v>
      </c>
      <c r="N109" s="25" t="s">
        <v>70</v>
      </c>
      <c r="O109" s="25">
        <v>2.1000000172E10</v>
      </c>
      <c r="P109" s="26" t="s">
        <v>825</v>
      </c>
      <c r="Q109" s="27" t="s">
        <v>826</v>
      </c>
      <c r="R109" s="28" t="s">
        <v>79</v>
      </c>
      <c r="S109" s="29">
        <f t="shared" si="1"/>
        <v>500</v>
      </c>
      <c r="T109" s="30"/>
      <c r="U109" s="30"/>
      <c r="V109" s="30"/>
      <c r="W109" s="30"/>
      <c r="X109" s="30"/>
      <c r="Y109" s="30"/>
      <c r="Z109" s="28">
        <v>500.0</v>
      </c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1"/>
      <c r="AT109" s="38" t="s">
        <v>678</v>
      </c>
      <c r="AU109" s="32">
        <f t="shared" si="2"/>
        <v>0.07258666667</v>
      </c>
      <c r="AV109" s="33">
        <f t="shared" si="3"/>
        <v>0.09436266667</v>
      </c>
      <c r="AW109" s="34"/>
      <c r="AX109" s="32">
        <f>48/500</f>
        <v>0.096</v>
      </c>
      <c r="AY109" s="46" t="s">
        <v>827</v>
      </c>
      <c r="AZ109" s="34"/>
      <c r="BA109" s="30"/>
      <c r="BB109" s="40">
        <v>45359.0</v>
      </c>
      <c r="BC109" s="35"/>
      <c r="BD109" s="32">
        <f>30.24/500</f>
        <v>0.06048</v>
      </c>
      <c r="BE109" s="46" t="s">
        <v>828</v>
      </c>
      <c r="BF109" s="31"/>
      <c r="BG109" s="30"/>
      <c r="BH109" s="30"/>
      <c r="BI109" s="31"/>
      <c r="BJ109" s="32">
        <f>30.64/500</f>
        <v>0.06128</v>
      </c>
      <c r="BK109" s="46" t="s">
        <v>829</v>
      </c>
      <c r="BL109" s="30"/>
      <c r="BM109" s="30"/>
    </row>
    <row r="110">
      <c r="A110" s="18" t="s">
        <v>20</v>
      </c>
      <c r="B110" s="18" t="s">
        <v>830</v>
      </c>
      <c r="C110" s="19" t="s">
        <v>831</v>
      </c>
      <c r="D110" s="19" t="s">
        <v>67</v>
      </c>
      <c r="E110" s="19" t="s">
        <v>68</v>
      </c>
      <c r="F110" s="20">
        <v>1.0</v>
      </c>
      <c r="G110" s="21">
        <v>1.0</v>
      </c>
      <c r="H110" s="21">
        <v>60.0</v>
      </c>
      <c r="I110" s="21">
        <v>60.0</v>
      </c>
      <c r="J110" s="45"/>
      <c r="K110" s="23">
        <v>1.34</v>
      </c>
      <c r="L110" s="24">
        <v>109.0</v>
      </c>
      <c r="M110" s="25" t="s">
        <v>69</v>
      </c>
      <c r="N110" s="25" t="s">
        <v>70</v>
      </c>
      <c r="O110" s="25">
        <v>2.1000000568E10</v>
      </c>
      <c r="P110" s="26" t="s">
        <v>832</v>
      </c>
      <c r="Q110" s="27" t="s">
        <v>833</v>
      </c>
      <c r="R110" s="28" t="s">
        <v>834</v>
      </c>
      <c r="S110" s="29">
        <f t="shared" si="1"/>
        <v>1500</v>
      </c>
      <c r="T110" s="30"/>
      <c r="U110" s="28">
        <v>500.0</v>
      </c>
      <c r="V110" s="30"/>
      <c r="W110" s="30"/>
      <c r="X110" s="30"/>
      <c r="Y110" s="30"/>
      <c r="Z110" s="38">
        <v>1000.0</v>
      </c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1"/>
      <c r="AT110" s="38" t="s">
        <v>805</v>
      </c>
      <c r="AU110" s="32">
        <f t="shared" si="2"/>
        <v>1.34292</v>
      </c>
      <c r="AV110" s="33">
        <f t="shared" si="3"/>
        <v>1.745796</v>
      </c>
      <c r="AW110" s="34"/>
      <c r="AX110" s="32">
        <f>321.57/250</f>
        <v>1.28628</v>
      </c>
      <c r="AY110" s="46" t="s">
        <v>835</v>
      </c>
      <c r="AZ110" s="34"/>
      <c r="BA110" s="30"/>
      <c r="BB110" s="40">
        <v>45359.0</v>
      </c>
      <c r="BC110" s="35"/>
      <c r="BD110" s="32">
        <f>317.34/250</f>
        <v>1.26936</v>
      </c>
      <c r="BE110" s="46" t="s">
        <v>836</v>
      </c>
      <c r="BF110" s="31"/>
      <c r="BG110" s="30"/>
      <c r="BH110" s="30"/>
      <c r="BI110" s="31"/>
      <c r="BJ110" s="32">
        <f> 736.56/500</f>
        <v>1.47312</v>
      </c>
      <c r="BK110" s="46" t="s">
        <v>837</v>
      </c>
      <c r="BL110" s="30"/>
      <c r="BM110" s="30"/>
    </row>
    <row r="111">
      <c r="A111" s="18" t="s">
        <v>43</v>
      </c>
      <c r="B111" s="18" t="s">
        <v>838</v>
      </c>
      <c r="C111" s="19" t="s">
        <v>839</v>
      </c>
      <c r="D111" s="19" t="s">
        <v>67</v>
      </c>
      <c r="E111" s="19" t="s">
        <v>68</v>
      </c>
      <c r="F111" s="20">
        <v>3.0</v>
      </c>
      <c r="G111" s="21">
        <v>3.0</v>
      </c>
      <c r="H111" s="21">
        <v>15.0</v>
      </c>
      <c r="I111" s="21">
        <v>45.0</v>
      </c>
      <c r="J111" s="45"/>
      <c r="K111" s="23">
        <v>0.09</v>
      </c>
      <c r="L111" s="24">
        <v>110.0</v>
      </c>
      <c r="M111" s="25" t="s">
        <v>69</v>
      </c>
      <c r="N111" s="25" t="s">
        <v>70</v>
      </c>
      <c r="O111" s="25">
        <v>2.1000000166E10</v>
      </c>
      <c r="P111" s="26" t="s">
        <v>840</v>
      </c>
      <c r="Q111" s="27" t="s">
        <v>841</v>
      </c>
      <c r="R111" s="28" t="s">
        <v>834</v>
      </c>
      <c r="S111" s="29">
        <f t="shared" si="1"/>
        <v>20500</v>
      </c>
      <c r="T111" s="30"/>
      <c r="U111" s="30"/>
      <c r="V111" s="30"/>
      <c r="W111" s="30"/>
      <c r="X111" s="30"/>
      <c r="Y111" s="30"/>
      <c r="Z111" s="38">
        <f>500+6000+2000</f>
        <v>8500</v>
      </c>
      <c r="AA111" s="30"/>
      <c r="AB111" s="30"/>
      <c r="AC111" s="30"/>
      <c r="AD111" s="30"/>
      <c r="AE111" s="38">
        <v>1000.0</v>
      </c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29">
        <f>1500+1500+4000+4000</f>
        <v>11000</v>
      </c>
      <c r="AS111" s="31"/>
      <c r="AT111" s="38" t="s">
        <v>678</v>
      </c>
      <c r="AU111" s="32">
        <f t="shared" si="2"/>
        <v>0.06704666667</v>
      </c>
      <c r="AV111" s="33">
        <f t="shared" si="3"/>
        <v>0.08716066667</v>
      </c>
      <c r="AW111" s="34"/>
      <c r="AX111" s="32">
        <f>35.82/500</f>
        <v>0.07164</v>
      </c>
      <c r="AY111" s="46" t="s">
        <v>842</v>
      </c>
      <c r="AZ111" s="34"/>
      <c r="BA111" s="30"/>
      <c r="BB111" s="40">
        <v>45359.0</v>
      </c>
      <c r="BC111" s="35"/>
      <c r="BD111" s="32">
        <f>32.16/500</f>
        <v>0.06432</v>
      </c>
      <c r="BE111" s="46" t="s">
        <v>843</v>
      </c>
      <c r="BF111" s="31"/>
      <c r="BG111" s="30"/>
      <c r="BH111" s="30"/>
      <c r="BI111" s="31"/>
      <c r="BJ111" s="32">
        <f>32.59/500</f>
        <v>0.06518</v>
      </c>
      <c r="BK111" s="46" t="s">
        <v>844</v>
      </c>
      <c r="BL111" s="30"/>
      <c r="BM111" s="30"/>
    </row>
    <row r="112">
      <c r="A112" s="18" t="s">
        <v>25</v>
      </c>
      <c r="B112" s="18" t="s">
        <v>845</v>
      </c>
      <c r="C112" s="19" t="s">
        <v>846</v>
      </c>
      <c r="D112" s="19" t="s">
        <v>67</v>
      </c>
      <c r="E112" s="19" t="s">
        <v>68</v>
      </c>
      <c r="F112" s="20">
        <v>3.0</v>
      </c>
      <c r="G112" s="21">
        <v>3.0</v>
      </c>
      <c r="H112" s="21">
        <v>177.0</v>
      </c>
      <c r="I112" s="21">
        <v>531.0</v>
      </c>
      <c r="J112" s="45"/>
      <c r="K112" s="23">
        <v>159.04</v>
      </c>
      <c r="L112" s="24">
        <v>111.0</v>
      </c>
      <c r="M112" s="25" t="s">
        <v>69</v>
      </c>
      <c r="N112" s="25" t="s">
        <v>70</v>
      </c>
      <c r="O112" s="25">
        <v>2.1000000163E10</v>
      </c>
      <c r="P112" s="26" t="s">
        <v>847</v>
      </c>
      <c r="Q112" s="27" t="s">
        <v>848</v>
      </c>
      <c r="R112" s="28" t="s">
        <v>849</v>
      </c>
      <c r="S112" s="29">
        <f t="shared" si="1"/>
        <v>3</v>
      </c>
      <c r="T112" s="30"/>
      <c r="U112" s="30"/>
      <c r="V112" s="30"/>
      <c r="W112" s="30"/>
      <c r="X112" s="30"/>
      <c r="Y112" s="30"/>
      <c r="Z112" s="29">
        <v>3.0</v>
      </c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1"/>
      <c r="AT112" s="38" t="s">
        <v>678</v>
      </c>
      <c r="AU112" s="32">
        <f t="shared" si="2"/>
        <v>147.7866667</v>
      </c>
      <c r="AV112" s="33">
        <f t="shared" si="3"/>
        <v>192.1226667</v>
      </c>
      <c r="AW112" s="34"/>
      <c r="AX112" s="32">
        <f>64.07*2</f>
        <v>128.14</v>
      </c>
      <c r="AY112" s="46" t="s">
        <v>850</v>
      </c>
      <c r="AZ112" s="34"/>
      <c r="BA112" s="30"/>
      <c r="BB112" s="40">
        <v>45359.0</v>
      </c>
      <c r="BC112" s="35"/>
      <c r="BD112" s="32">
        <f>64.07*2</f>
        <v>128.14</v>
      </c>
      <c r="BE112" s="46" t="s">
        <v>851</v>
      </c>
      <c r="BF112" s="31"/>
      <c r="BG112" s="30"/>
      <c r="BH112" s="30"/>
      <c r="BI112" s="31"/>
      <c r="BJ112" s="32">
        <f>93.54*2</f>
        <v>187.08</v>
      </c>
      <c r="BK112" s="46" t="s">
        <v>852</v>
      </c>
      <c r="BL112" s="30"/>
      <c r="BM112" s="30"/>
    </row>
    <row r="113">
      <c r="A113" s="18" t="s">
        <v>21</v>
      </c>
      <c r="B113" s="18" t="s">
        <v>853</v>
      </c>
      <c r="C113" s="19" t="s">
        <v>854</v>
      </c>
      <c r="D113" s="19" t="s">
        <v>67</v>
      </c>
      <c r="E113" s="19" t="s">
        <v>68</v>
      </c>
      <c r="F113" s="20">
        <v>500.0</v>
      </c>
      <c r="G113" s="21">
        <v>500.0</v>
      </c>
      <c r="H113" s="21">
        <v>0.09</v>
      </c>
      <c r="I113" s="21">
        <v>45.0</v>
      </c>
      <c r="J113" s="45"/>
      <c r="K113" s="23">
        <v>0.09</v>
      </c>
      <c r="L113" s="24">
        <v>112.0</v>
      </c>
      <c r="M113" s="25" t="s">
        <v>69</v>
      </c>
      <c r="N113" s="25" t="s">
        <v>70</v>
      </c>
      <c r="O113" s="25">
        <v>2.1000000157E10</v>
      </c>
      <c r="P113" s="26" t="s">
        <v>855</v>
      </c>
      <c r="Q113" s="27" t="s">
        <v>856</v>
      </c>
      <c r="R113" s="28" t="s">
        <v>834</v>
      </c>
      <c r="S113" s="29">
        <f t="shared" si="1"/>
        <v>2000</v>
      </c>
      <c r="T113" s="30"/>
      <c r="U113" s="30"/>
      <c r="V113" s="29">
        <v>500.0</v>
      </c>
      <c r="W113" s="30"/>
      <c r="X113" s="30"/>
      <c r="Y113" s="30"/>
      <c r="Z113" s="38">
        <v>1500.0</v>
      </c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1"/>
      <c r="AT113" s="38" t="s">
        <v>678</v>
      </c>
      <c r="AU113" s="32">
        <f t="shared" si="2"/>
        <v>0.0785</v>
      </c>
      <c r="AV113" s="33">
        <f t="shared" si="3"/>
        <v>0.10205</v>
      </c>
      <c r="AW113" s="34"/>
      <c r="AX113" s="32">
        <f>41.12/500</f>
        <v>0.08224</v>
      </c>
      <c r="AY113" s="46" t="s">
        <v>857</v>
      </c>
      <c r="AZ113" s="34"/>
      <c r="BA113" s="30"/>
      <c r="BB113" s="40">
        <v>45359.0</v>
      </c>
      <c r="BC113" s="35"/>
      <c r="BD113" s="32">
        <f>40/500</f>
        <v>0.08</v>
      </c>
      <c r="BE113" s="46" t="s">
        <v>858</v>
      </c>
      <c r="BF113" s="31"/>
      <c r="BG113" s="30"/>
      <c r="BH113" s="30"/>
      <c r="BI113" s="31"/>
      <c r="BJ113" s="32">
        <f>36.63/500</f>
        <v>0.07326</v>
      </c>
      <c r="BK113" s="46" t="s">
        <v>859</v>
      </c>
      <c r="BL113" s="30"/>
      <c r="BM113" s="30"/>
    </row>
    <row r="114">
      <c r="A114" s="18" t="s">
        <v>25</v>
      </c>
      <c r="B114" s="18" t="s">
        <v>860</v>
      </c>
      <c r="C114" s="19" t="s">
        <v>861</v>
      </c>
      <c r="D114" s="19" t="s">
        <v>67</v>
      </c>
      <c r="E114" s="19" t="s">
        <v>68</v>
      </c>
      <c r="F114" s="20">
        <v>500.0</v>
      </c>
      <c r="G114" s="21">
        <v>1.0</v>
      </c>
      <c r="H114" s="21">
        <v>0.0</v>
      </c>
      <c r="I114" s="21">
        <v>0.0</v>
      </c>
      <c r="J114" s="45"/>
      <c r="K114" s="23">
        <v>0.69</v>
      </c>
      <c r="L114" s="24">
        <v>113.0</v>
      </c>
      <c r="M114" s="25" t="s">
        <v>69</v>
      </c>
      <c r="N114" s="25" t="s">
        <v>70</v>
      </c>
      <c r="O114" s="25">
        <v>2.1000000155E10</v>
      </c>
      <c r="P114" s="26" t="s">
        <v>862</v>
      </c>
      <c r="Q114" s="27" t="s">
        <v>863</v>
      </c>
      <c r="R114" s="28" t="s">
        <v>834</v>
      </c>
      <c r="S114" s="29">
        <f t="shared" si="1"/>
        <v>500</v>
      </c>
      <c r="T114" s="30"/>
      <c r="U114" s="30"/>
      <c r="V114" s="30"/>
      <c r="W114" s="30"/>
      <c r="X114" s="30"/>
      <c r="Y114" s="30"/>
      <c r="Z114" s="28">
        <v>500.0</v>
      </c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1"/>
      <c r="AT114" s="38" t="s">
        <v>678</v>
      </c>
      <c r="AU114" s="32">
        <f t="shared" si="2"/>
        <v>0.5835533333</v>
      </c>
      <c r="AV114" s="33">
        <f t="shared" si="3"/>
        <v>0.7586193333</v>
      </c>
      <c r="AW114" s="34"/>
      <c r="AX114" s="32">
        <f>319.93/500</f>
        <v>0.63986</v>
      </c>
      <c r="AY114" s="46" t="s">
        <v>864</v>
      </c>
      <c r="AZ114" s="34"/>
      <c r="BA114" s="30"/>
      <c r="BB114" s="40">
        <v>45359.0</v>
      </c>
      <c r="BC114" s="35"/>
      <c r="BD114" s="32">
        <f>235.47/500</f>
        <v>0.47094</v>
      </c>
      <c r="BE114" s="46" t="s">
        <v>865</v>
      </c>
      <c r="BF114" s="31"/>
      <c r="BG114" s="30"/>
      <c r="BH114" s="30"/>
      <c r="BI114" s="31"/>
      <c r="BJ114" s="32">
        <f>319.93/500</f>
        <v>0.63986</v>
      </c>
      <c r="BK114" s="46" t="s">
        <v>866</v>
      </c>
      <c r="BL114" s="30"/>
      <c r="BM114" s="30"/>
    </row>
    <row r="115">
      <c r="A115" s="18" t="s">
        <v>21</v>
      </c>
      <c r="B115" s="18" t="s">
        <v>867</v>
      </c>
      <c r="C115" s="19" t="s">
        <v>868</v>
      </c>
      <c r="D115" s="19" t="s">
        <v>67</v>
      </c>
      <c r="E115" s="19" t="s">
        <v>68</v>
      </c>
      <c r="F115" s="20">
        <v>25.0</v>
      </c>
      <c r="G115" s="21">
        <v>25.0</v>
      </c>
      <c r="H115" s="21">
        <v>28.7</v>
      </c>
      <c r="I115" s="21">
        <v>717.5</v>
      </c>
      <c r="J115" s="45"/>
      <c r="K115" s="23">
        <v>41.27</v>
      </c>
      <c r="L115" s="24">
        <v>114.0</v>
      </c>
      <c r="M115" s="25" t="s">
        <v>69</v>
      </c>
      <c r="N115" s="25" t="s">
        <v>70</v>
      </c>
      <c r="O115" s="25">
        <v>2.1000000634E10</v>
      </c>
      <c r="P115" s="26" t="s">
        <v>869</v>
      </c>
      <c r="Q115" s="27" t="s">
        <v>870</v>
      </c>
      <c r="R115" s="28" t="s">
        <v>834</v>
      </c>
      <c r="S115" s="29">
        <f t="shared" si="1"/>
        <v>25</v>
      </c>
      <c r="T115" s="30"/>
      <c r="U115" s="30"/>
      <c r="V115" s="29">
        <v>25.0</v>
      </c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1"/>
      <c r="AT115" s="38" t="s">
        <v>805</v>
      </c>
      <c r="AU115" s="32">
        <f t="shared" si="2"/>
        <v>41.2656</v>
      </c>
      <c r="AV115" s="33">
        <f t="shared" si="3"/>
        <v>53.64528</v>
      </c>
      <c r="AW115" s="34"/>
      <c r="AX115" s="32">
        <f>647.63/25</f>
        <v>25.9052</v>
      </c>
      <c r="AY115" s="46" t="s">
        <v>871</v>
      </c>
      <c r="AZ115" s="34"/>
      <c r="BA115" s="30"/>
      <c r="BB115" s="40">
        <v>45359.0</v>
      </c>
      <c r="BC115" s="35"/>
      <c r="BD115" s="32">
        <f>1231.75/25</f>
        <v>49.27</v>
      </c>
      <c r="BE115" s="46" t="s">
        <v>872</v>
      </c>
      <c r="BF115" s="31"/>
      <c r="BG115" s="30"/>
      <c r="BH115" s="30"/>
      <c r="BI115" s="31"/>
      <c r="BJ115" s="32">
        <f>1215.54/25</f>
        <v>48.6216</v>
      </c>
      <c r="BK115" s="46" t="s">
        <v>873</v>
      </c>
      <c r="BL115" s="30"/>
      <c r="BM115" s="30"/>
    </row>
    <row r="116">
      <c r="A116" s="18" t="s">
        <v>21</v>
      </c>
      <c r="B116" s="18" t="s">
        <v>874</v>
      </c>
      <c r="C116" s="19" t="s">
        <v>875</v>
      </c>
      <c r="D116" s="19" t="s">
        <v>67</v>
      </c>
      <c r="E116" s="19" t="s">
        <v>68</v>
      </c>
      <c r="F116" s="20">
        <v>25.0</v>
      </c>
      <c r="G116" s="21">
        <v>25.0</v>
      </c>
      <c r="H116" s="21">
        <v>9.33</v>
      </c>
      <c r="I116" s="21">
        <v>233.25</v>
      </c>
      <c r="J116" s="45"/>
      <c r="K116" s="23">
        <v>14.63</v>
      </c>
      <c r="L116" s="24">
        <v>115.0</v>
      </c>
      <c r="M116" s="25" t="s">
        <v>69</v>
      </c>
      <c r="N116" s="25" t="s">
        <v>70</v>
      </c>
      <c r="O116" s="25">
        <v>2.1000000635E10</v>
      </c>
      <c r="P116" s="26" t="s">
        <v>876</v>
      </c>
      <c r="Q116" s="27" t="s">
        <v>877</v>
      </c>
      <c r="R116" s="28" t="s">
        <v>834</v>
      </c>
      <c r="S116" s="29">
        <f t="shared" si="1"/>
        <v>25</v>
      </c>
      <c r="T116" s="30"/>
      <c r="U116" s="30"/>
      <c r="V116" s="29">
        <v>25.0</v>
      </c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1"/>
      <c r="AT116" s="38" t="s">
        <v>678</v>
      </c>
      <c r="AU116" s="32">
        <f t="shared" si="2"/>
        <v>11.681</v>
      </c>
      <c r="AV116" s="33">
        <f t="shared" si="3"/>
        <v>15.1853</v>
      </c>
      <c r="AW116" s="34"/>
      <c r="AX116" s="32">
        <f>258.19/25</f>
        <v>10.3276</v>
      </c>
      <c r="AY116" s="46" t="s">
        <v>878</v>
      </c>
      <c r="AZ116" s="34"/>
      <c r="BA116" s="30"/>
      <c r="BB116" s="40">
        <v>45359.0</v>
      </c>
      <c r="BC116" s="35"/>
      <c r="BD116" s="42">
        <f>325.86/25</f>
        <v>13.0344</v>
      </c>
      <c r="BE116" s="46" t="s">
        <v>879</v>
      </c>
      <c r="BF116" s="31"/>
      <c r="BG116" s="30"/>
      <c r="BH116" s="30"/>
      <c r="BI116" s="31"/>
      <c r="BJ116" s="32"/>
      <c r="BK116" s="31"/>
      <c r="BL116" s="30"/>
      <c r="BM116" s="30"/>
    </row>
    <row r="117">
      <c r="A117" s="18" t="s">
        <v>25</v>
      </c>
      <c r="B117" s="18" t="s">
        <v>880</v>
      </c>
      <c r="C117" s="19" t="s">
        <v>881</v>
      </c>
      <c r="D117" s="19" t="s">
        <v>67</v>
      </c>
      <c r="E117" s="19" t="s">
        <v>68</v>
      </c>
      <c r="F117" s="20">
        <v>1000.0</v>
      </c>
      <c r="G117" s="21">
        <v>2.0</v>
      </c>
      <c r="H117" s="21">
        <v>0.0</v>
      </c>
      <c r="I117" s="21">
        <v>0.0</v>
      </c>
      <c r="J117" s="36" t="s">
        <v>882</v>
      </c>
      <c r="K117" s="23">
        <v>0.19</v>
      </c>
      <c r="L117" s="24">
        <v>116.0</v>
      </c>
      <c r="M117" s="25" t="s">
        <v>69</v>
      </c>
      <c r="N117" s="25" t="s">
        <v>70</v>
      </c>
      <c r="O117" s="25">
        <v>2.1000000029E10</v>
      </c>
      <c r="P117" s="26" t="s">
        <v>883</v>
      </c>
      <c r="Q117" s="64" t="s">
        <v>884</v>
      </c>
      <c r="R117" s="65" t="s">
        <v>834</v>
      </c>
      <c r="S117" s="68">
        <f t="shared" si="1"/>
        <v>4000</v>
      </c>
      <c r="T117" s="30"/>
      <c r="U117" s="30"/>
      <c r="V117" s="30"/>
      <c r="W117" s="30"/>
      <c r="X117" s="30"/>
      <c r="Y117" s="30"/>
      <c r="Z117" s="28">
        <v>1000.0</v>
      </c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>
        <f>1500+1500</f>
        <v>3000</v>
      </c>
      <c r="AS117" s="31"/>
      <c r="AT117" s="38" t="s">
        <v>678</v>
      </c>
      <c r="AU117" s="32">
        <f t="shared" si="2"/>
        <v>0.19452</v>
      </c>
      <c r="AV117" s="33">
        <f t="shared" si="3"/>
        <v>0.252876</v>
      </c>
      <c r="AW117" s="34"/>
      <c r="AX117" s="32">
        <f>95.94/500</f>
        <v>0.19188</v>
      </c>
      <c r="AY117" s="46" t="s">
        <v>885</v>
      </c>
      <c r="AZ117" s="34"/>
      <c r="BA117" s="30"/>
      <c r="BB117" s="40">
        <v>45359.0</v>
      </c>
      <c r="BC117" s="35"/>
      <c r="BD117" s="32">
        <f>99.9/500</f>
        <v>0.1998</v>
      </c>
      <c r="BE117" s="46" t="s">
        <v>886</v>
      </c>
      <c r="BF117" s="31"/>
      <c r="BG117" s="30"/>
      <c r="BH117" s="30"/>
      <c r="BI117" s="31"/>
      <c r="BJ117" s="32">
        <f>95.94/500</f>
        <v>0.19188</v>
      </c>
      <c r="BK117" s="46" t="s">
        <v>887</v>
      </c>
      <c r="BL117" s="30"/>
      <c r="BM117" s="30"/>
    </row>
    <row r="118">
      <c r="A118" s="18" t="s">
        <v>21</v>
      </c>
      <c r="B118" s="18" t="s">
        <v>888</v>
      </c>
      <c r="C118" s="19" t="s">
        <v>889</v>
      </c>
      <c r="D118" s="19" t="s">
        <v>67</v>
      </c>
      <c r="E118" s="19" t="s">
        <v>68</v>
      </c>
      <c r="F118" s="20">
        <v>500.0</v>
      </c>
      <c r="G118" s="21">
        <v>500.0</v>
      </c>
      <c r="H118" s="21">
        <v>0.12</v>
      </c>
      <c r="I118" s="21">
        <v>60.0</v>
      </c>
      <c r="J118" s="45"/>
      <c r="K118" s="23">
        <v>0.08</v>
      </c>
      <c r="L118" s="24">
        <v>117.0</v>
      </c>
      <c r="M118" s="25" t="s">
        <v>69</v>
      </c>
      <c r="N118" s="25" t="s">
        <v>70</v>
      </c>
      <c r="O118" s="25">
        <v>2.1000000633E10</v>
      </c>
      <c r="P118" s="26" t="s">
        <v>890</v>
      </c>
      <c r="Q118" s="27" t="s">
        <v>888</v>
      </c>
      <c r="R118" s="28" t="s">
        <v>834</v>
      </c>
      <c r="S118" s="29">
        <f t="shared" si="1"/>
        <v>1500</v>
      </c>
      <c r="T118" s="30"/>
      <c r="U118" s="30"/>
      <c r="V118" s="29">
        <v>500.0</v>
      </c>
      <c r="W118" s="30"/>
      <c r="X118" s="30"/>
      <c r="Y118" s="30"/>
      <c r="Z118" s="38">
        <f>500+500</f>
        <v>1000</v>
      </c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1"/>
      <c r="AT118" s="38" t="s">
        <v>805</v>
      </c>
      <c r="AU118" s="32">
        <f t="shared" si="2"/>
        <v>0.08035</v>
      </c>
      <c r="AV118" s="33">
        <f t="shared" si="3"/>
        <v>0.104455</v>
      </c>
      <c r="AW118" s="34"/>
      <c r="AX118" s="32">
        <f>33.54/500</f>
        <v>0.06708</v>
      </c>
      <c r="AY118" s="46" t="s">
        <v>891</v>
      </c>
      <c r="AZ118" s="34"/>
      <c r="BA118" s="30"/>
      <c r="BB118" s="40">
        <v>45359.0</v>
      </c>
      <c r="BC118" s="35"/>
      <c r="BD118" s="32">
        <f>93.62/1000</f>
        <v>0.09362</v>
      </c>
      <c r="BE118" s="31"/>
      <c r="BF118" s="31"/>
      <c r="BG118" s="30"/>
      <c r="BH118" s="30"/>
      <c r="BI118" s="31"/>
      <c r="BJ118" s="32"/>
      <c r="BK118" s="31"/>
      <c r="BL118" s="30"/>
      <c r="BM118" s="30"/>
    </row>
    <row r="119">
      <c r="A119" s="18" t="s">
        <v>41</v>
      </c>
      <c r="B119" s="18" t="s">
        <v>892</v>
      </c>
      <c r="C119" s="19" t="s">
        <v>893</v>
      </c>
      <c r="D119" s="19" t="s">
        <v>67</v>
      </c>
      <c r="E119" s="19" t="s">
        <v>68</v>
      </c>
      <c r="F119" s="20">
        <v>497.0</v>
      </c>
      <c r="G119" s="21">
        <v>500.0</v>
      </c>
      <c r="H119" s="21">
        <v>0.05</v>
      </c>
      <c r="I119" s="21">
        <v>25.0</v>
      </c>
      <c r="J119" s="45"/>
      <c r="K119" s="23">
        <v>0.11</v>
      </c>
      <c r="L119" s="24">
        <v>118.0</v>
      </c>
      <c r="M119" s="25" t="s">
        <v>69</v>
      </c>
      <c r="N119" s="25" t="s">
        <v>70</v>
      </c>
      <c r="O119" s="25">
        <v>2.1000000031E10</v>
      </c>
      <c r="P119" s="26" t="s">
        <v>894</v>
      </c>
      <c r="Q119" s="27" t="s">
        <v>895</v>
      </c>
      <c r="R119" s="28" t="s">
        <v>834</v>
      </c>
      <c r="S119" s="29">
        <f t="shared" si="1"/>
        <v>1000</v>
      </c>
      <c r="T119" s="30"/>
      <c r="U119" s="30"/>
      <c r="V119" s="30"/>
      <c r="W119" s="30"/>
      <c r="X119" s="30"/>
      <c r="Y119" s="30"/>
      <c r="Z119" s="38">
        <v>500.0</v>
      </c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29">
        <v>500.0</v>
      </c>
      <c r="AQ119" s="30"/>
      <c r="AR119" s="30"/>
      <c r="AS119" s="31"/>
      <c r="AT119" s="38" t="s">
        <v>678</v>
      </c>
      <c r="AU119" s="32">
        <f t="shared" si="2"/>
        <v>0.1167266667</v>
      </c>
      <c r="AV119" s="33">
        <f t="shared" si="3"/>
        <v>0.1517446667</v>
      </c>
      <c r="AW119" s="34"/>
      <c r="AX119" s="32">
        <f> 36/500</f>
        <v>0.072</v>
      </c>
      <c r="AY119" s="46" t="s">
        <v>896</v>
      </c>
      <c r="AZ119" s="34"/>
      <c r="BA119" s="30"/>
      <c r="BB119" s="40">
        <v>45359.0</v>
      </c>
      <c r="BC119" s="35"/>
      <c r="BD119" s="32">
        <f>35.35/500</f>
        <v>0.0707</v>
      </c>
      <c r="BE119" s="46" t="s">
        <v>897</v>
      </c>
      <c r="BF119" s="31"/>
      <c r="BG119" s="30"/>
      <c r="BH119" s="30"/>
      <c r="BI119" s="31"/>
      <c r="BJ119" s="32">
        <f>103.74/500</f>
        <v>0.20748</v>
      </c>
      <c r="BK119" s="46" t="s">
        <v>898</v>
      </c>
      <c r="BL119" s="30"/>
      <c r="BM119" s="30"/>
    </row>
    <row r="120">
      <c r="A120" s="18" t="s">
        <v>25</v>
      </c>
      <c r="B120" s="18" t="s">
        <v>899</v>
      </c>
      <c r="C120" s="19" t="s">
        <v>900</v>
      </c>
      <c r="D120" s="19" t="s">
        <v>67</v>
      </c>
      <c r="E120" s="19" t="s">
        <v>68</v>
      </c>
      <c r="F120" s="20">
        <v>2.0</v>
      </c>
      <c r="G120" s="21">
        <v>2.0</v>
      </c>
      <c r="H120" s="85">
        <v>112.0</v>
      </c>
      <c r="I120" s="21">
        <v>224.0</v>
      </c>
      <c r="J120" s="36" t="s">
        <v>901</v>
      </c>
      <c r="K120" s="23">
        <v>171.84</v>
      </c>
      <c r="L120" s="24">
        <v>119.0</v>
      </c>
      <c r="M120" s="25" t="s">
        <v>69</v>
      </c>
      <c r="N120" s="25" t="s">
        <v>70</v>
      </c>
      <c r="O120" s="25">
        <v>2.1000000032E10</v>
      </c>
      <c r="P120" s="26" t="s">
        <v>902</v>
      </c>
      <c r="Q120" s="27" t="s">
        <v>903</v>
      </c>
      <c r="R120" s="28" t="s">
        <v>904</v>
      </c>
      <c r="S120" s="29">
        <f t="shared" si="1"/>
        <v>2</v>
      </c>
      <c r="T120" s="30"/>
      <c r="U120" s="30"/>
      <c r="V120" s="30"/>
      <c r="W120" s="30"/>
      <c r="X120" s="30"/>
      <c r="Y120" s="30"/>
      <c r="Z120" s="29">
        <v>2.0</v>
      </c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1"/>
      <c r="AT120" s="38" t="s">
        <v>81</v>
      </c>
      <c r="AU120" s="32">
        <f t="shared" si="2"/>
        <v>173.545</v>
      </c>
      <c r="AV120" s="33">
        <f t="shared" si="3"/>
        <v>225.6085</v>
      </c>
      <c r="AW120" s="34"/>
      <c r="AX120" s="42">
        <v>194.83</v>
      </c>
      <c r="AY120" s="46" t="s">
        <v>905</v>
      </c>
      <c r="AZ120" s="34"/>
      <c r="BA120" s="30"/>
      <c r="BB120" s="30"/>
      <c r="BC120" s="35"/>
      <c r="BD120" s="42">
        <v>152.26</v>
      </c>
      <c r="BE120" s="46" t="s">
        <v>906</v>
      </c>
      <c r="BF120" s="31"/>
      <c r="BG120" s="30"/>
      <c r="BH120" s="30"/>
      <c r="BI120" s="31"/>
      <c r="BJ120" s="32"/>
      <c r="BK120" s="31"/>
      <c r="BL120" s="30"/>
      <c r="BM120" s="30"/>
    </row>
    <row r="121">
      <c r="A121" s="18" t="s">
        <v>25</v>
      </c>
      <c r="B121" s="18" t="s">
        <v>907</v>
      </c>
      <c r="C121" s="19" t="s">
        <v>908</v>
      </c>
      <c r="D121" s="19" t="s">
        <v>67</v>
      </c>
      <c r="E121" s="19" t="s">
        <v>68</v>
      </c>
      <c r="F121" s="20">
        <v>500.0</v>
      </c>
      <c r="G121" s="21">
        <v>500.0</v>
      </c>
      <c r="H121" s="21">
        <v>0.07</v>
      </c>
      <c r="I121" s="21">
        <v>35.0</v>
      </c>
      <c r="J121" s="45"/>
      <c r="K121" s="23">
        <v>53.66</v>
      </c>
      <c r="L121" s="24">
        <v>120.0</v>
      </c>
      <c r="M121" s="25" t="s">
        <v>69</v>
      </c>
      <c r="N121" s="25" t="s">
        <v>70</v>
      </c>
      <c r="O121" s="25">
        <v>2.1000000033E10</v>
      </c>
      <c r="P121" s="26" t="s">
        <v>909</v>
      </c>
      <c r="Q121" s="27" t="s">
        <v>910</v>
      </c>
      <c r="R121" s="28" t="s">
        <v>849</v>
      </c>
      <c r="S121" s="29">
        <f t="shared" si="1"/>
        <v>9</v>
      </c>
      <c r="T121" s="30"/>
      <c r="U121" s="38">
        <v>1.0</v>
      </c>
      <c r="V121" s="30"/>
      <c r="W121" s="38">
        <v>1.0</v>
      </c>
      <c r="X121" s="30"/>
      <c r="Y121" s="30"/>
      <c r="Z121" s="28">
        <f>1+1+4</f>
        <v>6</v>
      </c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8">
        <v>1.0</v>
      </c>
      <c r="AQ121" s="30"/>
      <c r="AR121" s="30"/>
      <c r="AS121" s="31"/>
      <c r="AT121" s="38" t="s">
        <v>678</v>
      </c>
      <c r="AU121" s="32">
        <f t="shared" si="2"/>
        <v>56.84333333</v>
      </c>
      <c r="AV121" s="33">
        <f t="shared" si="3"/>
        <v>73.89633333</v>
      </c>
      <c r="AW121" s="34"/>
      <c r="AX121" s="42">
        <v>57.6</v>
      </c>
      <c r="AY121" s="46" t="s">
        <v>911</v>
      </c>
      <c r="AZ121" s="34"/>
      <c r="BA121" s="30"/>
      <c r="BB121" s="40">
        <v>45359.0</v>
      </c>
      <c r="BC121" s="35"/>
      <c r="BD121" s="42">
        <v>52.93</v>
      </c>
      <c r="BE121" s="46" t="s">
        <v>912</v>
      </c>
      <c r="BF121" s="31"/>
      <c r="BG121" s="30"/>
      <c r="BH121" s="30"/>
      <c r="BI121" s="31"/>
      <c r="BJ121" s="42">
        <v>60.0</v>
      </c>
      <c r="BK121" s="46" t="s">
        <v>913</v>
      </c>
      <c r="BL121" s="30"/>
      <c r="BM121" s="30"/>
    </row>
    <row r="122">
      <c r="A122" s="18" t="s">
        <v>41</v>
      </c>
      <c r="B122" s="18" t="s">
        <v>914</v>
      </c>
      <c r="C122" s="19" t="s">
        <v>915</v>
      </c>
      <c r="D122" s="19" t="s">
        <v>67</v>
      </c>
      <c r="E122" s="19" t="s">
        <v>68</v>
      </c>
      <c r="F122" s="20">
        <v>25.0</v>
      </c>
      <c r="G122" s="21">
        <v>25.0</v>
      </c>
      <c r="H122" s="21">
        <v>13.26</v>
      </c>
      <c r="I122" s="21">
        <v>331.5</v>
      </c>
      <c r="J122" s="45"/>
      <c r="K122" s="23">
        <v>362.52</v>
      </c>
      <c r="L122" s="24">
        <v>121.0</v>
      </c>
      <c r="M122" s="25" t="s">
        <v>69</v>
      </c>
      <c r="N122" s="25" t="s">
        <v>70</v>
      </c>
      <c r="O122" s="25">
        <v>2.100000065E10</v>
      </c>
      <c r="P122" s="26" t="s">
        <v>916</v>
      </c>
      <c r="Q122" s="27" t="s">
        <v>917</v>
      </c>
      <c r="R122" s="28" t="s">
        <v>834</v>
      </c>
      <c r="S122" s="29">
        <f t="shared" si="1"/>
        <v>25</v>
      </c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29">
        <v>25.0</v>
      </c>
      <c r="AQ122" s="30"/>
      <c r="AR122" s="30"/>
      <c r="AS122" s="31"/>
      <c r="AT122" s="38" t="s">
        <v>678</v>
      </c>
      <c r="AU122" s="32">
        <f t="shared" si="2"/>
        <v>16.27573333</v>
      </c>
      <c r="AV122" s="33">
        <f t="shared" si="3"/>
        <v>21.15845333</v>
      </c>
      <c r="AW122" s="34"/>
      <c r="AX122" s="32">
        <f>403.54/25</f>
        <v>16.1416</v>
      </c>
      <c r="AY122" s="46" t="s">
        <v>918</v>
      </c>
      <c r="AZ122" s="34"/>
      <c r="BA122" s="30"/>
      <c r="BB122" s="40">
        <v>45359.0</v>
      </c>
      <c r="BC122" s="35"/>
      <c r="BD122" s="32">
        <f>403.54/25</f>
        <v>16.1416</v>
      </c>
      <c r="BE122" s="46" t="s">
        <v>919</v>
      </c>
      <c r="BF122" s="31"/>
      <c r="BG122" s="30"/>
      <c r="BH122" s="30"/>
      <c r="BI122" s="31"/>
      <c r="BJ122" s="42">
        <f>413.6/25</f>
        <v>16.544</v>
      </c>
      <c r="BK122" s="46" t="s">
        <v>920</v>
      </c>
      <c r="BL122" s="30"/>
      <c r="BM122" s="30"/>
    </row>
    <row r="123">
      <c r="A123" s="18" t="s">
        <v>25</v>
      </c>
      <c r="B123" s="18" t="s">
        <v>921</v>
      </c>
      <c r="C123" s="19" t="s">
        <v>922</v>
      </c>
      <c r="D123" s="19" t="s">
        <v>67</v>
      </c>
      <c r="E123" s="19" t="s">
        <v>68</v>
      </c>
      <c r="F123" s="20">
        <v>250.0</v>
      </c>
      <c r="G123" s="21">
        <v>1.0</v>
      </c>
      <c r="H123" s="21">
        <v>250.0</v>
      </c>
      <c r="I123" s="21">
        <v>250.0</v>
      </c>
      <c r="J123" s="45"/>
      <c r="K123" s="23">
        <v>0.81</v>
      </c>
      <c r="L123" s="24">
        <v>122.0</v>
      </c>
      <c r="M123" s="25" t="s">
        <v>69</v>
      </c>
      <c r="N123" s="25" t="s">
        <v>70</v>
      </c>
      <c r="O123" s="25">
        <v>2.1000000567E10</v>
      </c>
      <c r="P123" s="26" t="s">
        <v>923</v>
      </c>
      <c r="Q123" s="27" t="s">
        <v>924</v>
      </c>
      <c r="R123" s="28" t="s">
        <v>834</v>
      </c>
      <c r="S123" s="29">
        <f t="shared" si="1"/>
        <v>250</v>
      </c>
      <c r="T123" s="30"/>
      <c r="U123" s="30"/>
      <c r="V123" s="30"/>
      <c r="W123" s="30"/>
      <c r="X123" s="30"/>
      <c r="Y123" s="30"/>
      <c r="Z123" s="28">
        <v>250.0</v>
      </c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1"/>
      <c r="AT123" s="38" t="s">
        <v>678</v>
      </c>
      <c r="AU123" s="32">
        <f t="shared" si="2"/>
        <v>0.8177733333</v>
      </c>
      <c r="AV123" s="33">
        <f t="shared" si="3"/>
        <v>1.063105333</v>
      </c>
      <c r="AW123" s="34"/>
      <c r="AX123" s="32">
        <f>221.16/250</f>
        <v>0.88464</v>
      </c>
      <c r="AY123" s="46" t="s">
        <v>925</v>
      </c>
      <c r="AZ123" s="34"/>
      <c r="BA123" s="30"/>
      <c r="BB123" s="40">
        <v>45361.0</v>
      </c>
      <c r="BC123" s="35"/>
      <c r="BD123" s="32">
        <f>171.01/250</f>
        <v>0.68404</v>
      </c>
      <c r="BE123" s="46" t="s">
        <v>926</v>
      </c>
      <c r="BF123" s="31"/>
      <c r="BG123" s="30"/>
      <c r="BH123" s="30"/>
      <c r="BI123" s="31"/>
      <c r="BJ123" s="32">
        <f>221.16/250</f>
        <v>0.88464</v>
      </c>
      <c r="BK123" s="46" t="s">
        <v>927</v>
      </c>
      <c r="BL123" s="30"/>
      <c r="BM123" s="30"/>
    </row>
    <row r="124">
      <c r="A124" s="18" t="s">
        <v>28</v>
      </c>
      <c r="B124" s="18" t="s">
        <v>928</v>
      </c>
      <c r="C124" s="19" t="s">
        <v>929</v>
      </c>
      <c r="D124" s="19" t="s">
        <v>67</v>
      </c>
      <c r="E124" s="19" t="s">
        <v>68</v>
      </c>
      <c r="F124" s="20">
        <v>1.0</v>
      </c>
      <c r="G124" s="21">
        <v>1.0</v>
      </c>
      <c r="H124" s="21">
        <v>150.0</v>
      </c>
      <c r="I124" s="21">
        <v>150.0</v>
      </c>
      <c r="J124" s="36" t="s">
        <v>930</v>
      </c>
      <c r="K124" s="23">
        <v>0.9</v>
      </c>
      <c r="L124" s="24">
        <v>123.0</v>
      </c>
      <c r="M124" s="25" t="s">
        <v>69</v>
      </c>
      <c r="N124" s="25" t="s">
        <v>70</v>
      </c>
      <c r="O124" s="25">
        <v>2.1000000034E10</v>
      </c>
      <c r="P124" s="26" t="s">
        <v>931</v>
      </c>
      <c r="Q124" s="27" t="s">
        <v>932</v>
      </c>
      <c r="R124" s="28" t="s">
        <v>834</v>
      </c>
      <c r="S124" s="29">
        <f t="shared" si="1"/>
        <v>3100</v>
      </c>
      <c r="T124" s="30"/>
      <c r="U124" s="30"/>
      <c r="V124" s="30"/>
      <c r="W124" s="30"/>
      <c r="X124" s="30"/>
      <c r="Y124" s="30"/>
      <c r="Z124" s="29">
        <f>500+2000+300</f>
        <v>2800</v>
      </c>
      <c r="AA124" s="30"/>
      <c r="AB124" s="30"/>
      <c r="AC124" s="28">
        <v>300.0</v>
      </c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1"/>
      <c r="AT124" s="38" t="s">
        <v>81</v>
      </c>
      <c r="AU124" s="32">
        <f t="shared" si="2"/>
        <v>0.7496333333</v>
      </c>
      <c r="AV124" s="33">
        <f t="shared" si="3"/>
        <v>0.9745233333</v>
      </c>
      <c r="AW124" s="34"/>
      <c r="AX124" s="32">
        <f>68.8 /100</f>
        <v>0.688</v>
      </c>
      <c r="AY124" s="46" t="s">
        <v>119</v>
      </c>
      <c r="AZ124" s="34"/>
      <c r="BA124" s="30"/>
      <c r="BB124" s="30"/>
      <c r="BC124" s="35"/>
      <c r="BD124" s="32">
        <f>72.42/100</f>
        <v>0.7242</v>
      </c>
      <c r="BE124" s="46" t="s">
        <v>933</v>
      </c>
      <c r="BF124" s="31"/>
      <c r="BG124" s="30"/>
      <c r="BH124" s="30"/>
      <c r="BI124" s="31"/>
      <c r="BJ124" s="32">
        <f>83.67/100</f>
        <v>0.8367</v>
      </c>
      <c r="BK124" s="46" t="s">
        <v>934</v>
      </c>
      <c r="BL124" s="30"/>
      <c r="BM124" s="30"/>
    </row>
    <row r="125">
      <c r="A125" s="18" t="s">
        <v>25</v>
      </c>
      <c r="B125" s="18" t="s">
        <v>935</v>
      </c>
      <c r="C125" s="19" t="s">
        <v>936</v>
      </c>
      <c r="D125" s="19" t="s">
        <v>67</v>
      </c>
      <c r="E125" s="19" t="s">
        <v>68</v>
      </c>
      <c r="F125" s="20">
        <v>504.0</v>
      </c>
      <c r="G125" s="21">
        <v>2.0</v>
      </c>
      <c r="H125" s="21">
        <v>0.0</v>
      </c>
      <c r="I125" s="21">
        <v>0.0</v>
      </c>
      <c r="J125" s="36" t="s">
        <v>937</v>
      </c>
      <c r="K125" s="23">
        <v>1.02</v>
      </c>
      <c r="L125" s="24">
        <v>124.0</v>
      </c>
      <c r="M125" s="25" t="s">
        <v>69</v>
      </c>
      <c r="N125" s="25" t="s">
        <v>70</v>
      </c>
      <c r="O125" s="25">
        <v>2.1000000036E10</v>
      </c>
      <c r="P125" s="26" t="s">
        <v>938</v>
      </c>
      <c r="Q125" s="27" t="s">
        <v>939</v>
      </c>
      <c r="R125" s="28" t="s">
        <v>834</v>
      </c>
      <c r="S125" s="29">
        <f t="shared" si="1"/>
        <v>500</v>
      </c>
      <c r="T125" s="30"/>
      <c r="U125" s="30"/>
      <c r="V125" s="30"/>
      <c r="W125" s="30"/>
      <c r="X125" s="30"/>
      <c r="Y125" s="30"/>
      <c r="Z125" s="28">
        <v>500.0</v>
      </c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1"/>
      <c r="AT125" s="38" t="s">
        <v>678</v>
      </c>
      <c r="AU125" s="32">
        <f t="shared" si="2"/>
        <v>0.8192</v>
      </c>
      <c r="AV125" s="33">
        <f t="shared" si="3"/>
        <v>1.06496</v>
      </c>
      <c r="AW125" s="34"/>
      <c r="AX125" s="32">
        <f>249.53/250</f>
        <v>0.99812</v>
      </c>
      <c r="AY125" s="46" t="s">
        <v>940</v>
      </c>
      <c r="AZ125" s="34"/>
      <c r="BA125" s="30"/>
      <c r="BB125" s="40">
        <v>45364.0</v>
      </c>
      <c r="BC125" s="35"/>
      <c r="BD125" s="32">
        <f>181.14/250</f>
        <v>0.72456</v>
      </c>
      <c r="BE125" s="46" t="s">
        <v>941</v>
      </c>
      <c r="BF125" s="31"/>
      <c r="BG125" s="30"/>
      <c r="BH125" s="30"/>
      <c r="BI125" s="31"/>
      <c r="BJ125" s="32">
        <f>183.73/250</f>
        <v>0.73492</v>
      </c>
      <c r="BK125" s="46" t="s">
        <v>942</v>
      </c>
      <c r="BL125" s="30"/>
      <c r="BM125" s="30"/>
    </row>
    <row r="126">
      <c r="A126" s="18" t="s">
        <v>41</v>
      </c>
      <c r="B126" s="18" t="s">
        <v>943</v>
      </c>
      <c r="C126" s="19" t="s">
        <v>944</v>
      </c>
      <c r="D126" s="19" t="s">
        <v>67</v>
      </c>
      <c r="E126" s="19" t="s">
        <v>68</v>
      </c>
      <c r="F126" s="20">
        <v>1000.0</v>
      </c>
      <c r="G126" s="21">
        <v>1000.0</v>
      </c>
      <c r="H126" s="21">
        <v>0.16</v>
      </c>
      <c r="I126" s="21">
        <v>160.0</v>
      </c>
      <c r="J126" s="45"/>
      <c r="K126" s="23">
        <v>0.16</v>
      </c>
      <c r="L126" s="24">
        <v>125.0</v>
      </c>
      <c r="M126" s="25" t="s">
        <v>69</v>
      </c>
      <c r="N126" s="25" t="s">
        <v>70</v>
      </c>
      <c r="O126" s="25">
        <v>2.1000000037E10</v>
      </c>
      <c r="P126" s="26" t="s">
        <v>945</v>
      </c>
      <c r="Q126" s="27" t="s">
        <v>946</v>
      </c>
      <c r="R126" s="28" t="s">
        <v>834</v>
      </c>
      <c r="S126" s="29">
        <f t="shared" si="1"/>
        <v>1000</v>
      </c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29">
        <v>1000.0</v>
      </c>
      <c r="AQ126" s="30"/>
      <c r="AR126" s="30"/>
      <c r="AS126" s="31"/>
      <c r="AT126" s="38" t="s">
        <v>678</v>
      </c>
      <c r="AU126" s="32">
        <f t="shared" si="2"/>
        <v>0.15732</v>
      </c>
      <c r="AV126" s="33">
        <f t="shared" si="3"/>
        <v>0.204516</v>
      </c>
      <c r="AW126" s="34"/>
      <c r="AX126" s="32">
        <f>42.79/250</f>
        <v>0.17116</v>
      </c>
      <c r="AY126" s="46" t="s">
        <v>947</v>
      </c>
      <c r="AZ126" s="34"/>
      <c r="BA126" s="30"/>
      <c r="BB126" s="40">
        <v>45364.0</v>
      </c>
      <c r="BC126" s="35"/>
      <c r="BD126" s="32">
        <f>30.2/250</f>
        <v>0.1208</v>
      </c>
      <c r="BE126" s="46" t="s">
        <v>948</v>
      </c>
      <c r="BF126" s="31"/>
      <c r="BG126" s="30"/>
      <c r="BH126" s="30"/>
      <c r="BI126" s="31"/>
      <c r="BJ126" s="32">
        <f>90/500</f>
        <v>0.18</v>
      </c>
      <c r="BK126" s="39" t="s">
        <v>949</v>
      </c>
      <c r="BL126" s="30"/>
      <c r="BM126" s="30"/>
    </row>
    <row r="127">
      <c r="A127" s="55" t="s">
        <v>25</v>
      </c>
      <c r="B127" s="55" t="s">
        <v>950</v>
      </c>
      <c r="C127" s="56" t="s">
        <v>951</v>
      </c>
      <c r="D127" s="56" t="s">
        <v>67</v>
      </c>
      <c r="E127" s="56" t="s">
        <v>68</v>
      </c>
      <c r="F127" s="57">
        <v>2000.0</v>
      </c>
      <c r="G127" s="58">
        <v>4.0</v>
      </c>
      <c r="H127" s="58">
        <v>94.0</v>
      </c>
      <c r="I127" s="58">
        <v>376.0</v>
      </c>
      <c r="J127" s="59" t="s">
        <v>952</v>
      </c>
      <c r="K127" s="60">
        <v>0.18</v>
      </c>
      <c r="L127" s="61">
        <v>126.0</v>
      </c>
      <c r="M127" s="62" t="s">
        <v>69</v>
      </c>
      <c r="N127" s="62" t="s">
        <v>70</v>
      </c>
      <c r="O127" s="62">
        <v>2.1000000038E10</v>
      </c>
      <c r="P127" s="63" t="s">
        <v>953</v>
      </c>
      <c r="Q127" s="64" t="s">
        <v>954</v>
      </c>
      <c r="R127" s="65" t="s">
        <v>834</v>
      </c>
      <c r="S127" s="68">
        <f t="shared" si="1"/>
        <v>6500</v>
      </c>
      <c r="T127" s="66"/>
      <c r="U127" s="67">
        <v>500.0</v>
      </c>
      <c r="V127" s="66"/>
      <c r="W127" s="66"/>
      <c r="X127" s="66"/>
      <c r="Y127" s="66"/>
      <c r="Z127" s="65">
        <f>2000+3000</f>
        <v>5000</v>
      </c>
      <c r="AA127" s="66"/>
      <c r="AB127" s="66"/>
      <c r="AC127" s="67">
        <v>500.0</v>
      </c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7">
        <v>500.0</v>
      </c>
      <c r="AQ127" s="66"/>
      <c r="AR127" s="66"/>
      <c r="AS127" s="69"/>
      <c r="AT127" s="67" t="s">
        <v>81</v>
      </c>
      <c r="AU127" s="70">
        <f t="shared" si="2"/>
        <v>0.17082</v>
      </c>
      <c r="AV127" s="71">
        <f t="shared" si="3"/>
        <v>0.222066</v>
      </c>
      <c r="AW127" s="72"/>
      <c r="AX127" s="70">
        <f>83.19/500</f>
        <v>0.16638</v>
      </c>
      <c r="AY127" s="76" t="s">
        <v>955</v>
      </c>
      <c r="AZ127" s="72"/>
      <c r="BA127" s="66"/>
      <c r="BB127" s="66"/>
      <c r="BC127" s="75"/>
      <c r="BD127" s="70">
        <f>84.3/500</f>
        <v>0.1686</v>
      </c>
      <c r="BE127" s="74" t="s">
        <v>956</v>
      </c>
      <c r="BF127" s="69"/>
      <c r="BG127" s="66"/>
      <c r="BH127" s="66"/>
      <c r="BI127" s="69"/>
      <c r="BJ127" s="70">
        <f>88.74/500</f>
        <v>0.17748</v>
      </c>
      <c r="BK127" s="74" t="s">
        <v>957</v>
      </c>
      <c r="BL127" s="66"/>
      <c r="BM127" s="66"/>
    </row>
    <row r="128">
      <c r="A128" s="18" t="s">
        <v>25</v>
      </c>
      <c r="B128" s="18" t="s">
        <v>958</v>
      </c>
      <c r="C128" s="19" t="s">
        <v>959</v>
      </c>
      <c r="D128" s="19" t="s">
        <v>67</v>
      </c>
      <c r="E128" s="19" t="s">
        <v>68</v>
      </c>
      <c r="F128" s="20">
        <v>250.0</v>
      </c>
      <c r="G128" s="21">
        <v>1.0</v>
      </c>
      <c r="H128" s="21">
        <v>1.0</v>
      </c>
      <c r="I128" s="21">
        <v>1.0</v>
      </c>
      <c r="J128" s="36" t="s">
        <v>960</v>
      </c>
      <c r="K128" s="23">
        <v>2.08</v>
      </c>
      <c r="L128" s="24">
        <v>127.0</v>
      </c>
      <c r="M128" s="25" t="s">
        <v>69</v>
      </c>
      <c r="N128" s="25" t="s">
        <v>70</v>
      </c>
      <c r="O128" s="25">
        <v>2.100000039E10</v>
      </c>
      <c r="P128" s="26" t="s">
        <v>961</v>
      </c>
      <c r="Q128" s="27" t="s">
        <v>962</v>
      </c>
      <c r="R128" s="28" t="s">
        <v>834</v>
      </c>
      <c r="S128" s="29">
        <f t="shared" si="1"/>
        <v>500</v>
      </c>
      <c r="T128" s="30"/>
      <c r="U128" s="30"/>
      <c r="V128" s="30"/>
      <c r="W128" s="30"/>
      <c r="X128" s="30"/>
      <c r="Y128" s="30"/>
      <c r="Z128" s="28">
        <v>250.0</v>
      </c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8">
        <v>250.0</v>
      </c>
      <c r="AQ128" s="30"/>
      <c r="AR128" s="30"/>
      <c r="AS128" s="31"/>
      <c r="AT128" s="38" t="s">
        <v>678</v>
      </c>
      <c r="AU128" s="32">
        <f t="shared" si="2"/>
        <v>1.372231805</v>
      </c>
      <c r="AV128" s="33">
        <f t="shared" si="3"/>
        <v>1.783901346</v>
      </c>
      <c r="AW128" s="34"/>
      <c r="AX128" s="32">
        <f>605.64/250</f>
        <v>2.42256</v>
      </c>
      <c r="AY128" s="46" t="s">
        <v>963</v>
      </c>
      <c r="AZ128" s="34"/>
      <c r="BA128" s="30"/>
      <c r="BB128" s="30"/>
      <c r="BC128" s="35"/>
      <c r="BD128" s="32">
        <f>250/776.63</f>
        <v>0.3219036092</v>
      </c>
      <c r="BE128" s="39" t="s">
        <v>963</v>
      </c>
      <c r="BF128" s="31"/>
      <c r="BG128" s="30"/>
      <c r="BH128" s="30"/>
      <c r="BI128" s="31"/>
      <c r="BJ128" s="32"/>
      <c r="BK128" s="31"/>
      <c r="BL128" s="30"/>
      <c r="BM128" s="30"/>
    </row>
    <row r="129">
      <c r="A129" s="18" t="s">
        <v>25</v>
      </c>
      <c r="B129" s="18" t="s">
        <v>964</v>
      </c>
      <c r="C129" s="19" t="s">
        <v>965</v>
      </c>
      <c r="D129" s="19" t="s">
        <v>67</v>
      </c>
      <c r="E129" s="19" t="s">
        <v>68</v>
      </c>
      <c r="F129" s="20">
        <v>500.0</v>
      </c>
      <c r="G129" s="21">
        <v>500.0</v>
      </c>
      <c r="H129" s="21">
        <v>0.06</v>
      </c>
      <c r="I129" s="21">
        <v>30.0</v>
      </c>
      <c r="J129" s="45"/>
      <c r="K129" s="23">
        <v>0.06</v>
      </c>
      <c r="L129" s="24">
        <v>128.0</v>
      </c>
      <c r="M129" s="25" t="s">
        <v>69</v>
      </c>
      <c r="N129" s="25" t="s">
        <v>70</v>
      </c>
      <c r="O129" s="25">
        <v>2.1000000039E10</v>
      </c>
      <c r="P129" s="26" t="s">
        <v>966</v>
      </c>
      <c r="Q129" s="27" t="s">
        <v>967</v>
      </c>
      <c r="R129" s="28" t="s">
        <v>834</v>
      </c>
      <c r="S129" s="29">
        <f t="shared" si="1"/>
        <v>3500</v>
      </c>
      <c r="T129" s="30"/>
      <c r="U129" s="38">
        <v>1000.0</v>
      </c>
      <c r="V129" s="30"/>
      <c r="W129" s="38">
        <v>500.0</v>
      </c>
      <c r="X129" s="30"/>
      <c r="Y129" s="30"/>
      <c r="Z129" s="29">
        <f>500+500</f>
        <v>1000</v>
      </c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8">
        <v>500.0</v>
      </c>
      <c r="AL129" s="30"/>
      <c r="AM129" s="30"/>
      <c r="AN129" s="30"/>
      <c r="AO129" s="30"/>
      <c r="AP129" s="38">
        <v>500.0</v>
      </c>
      <c r="AQ129" s="30"/>
      <c r="AR129" s="30"/>
      <c r="AS129" s="31"/>
      <c r="AT129" s="38" t="s">
        <v>678</v>
      </c>
      <c r="AU129" s="32">
        <f t="shared" si="2"/>
        <v>0.05523333333</v>
      </c>
      <c r="AV129" s="33">
        <f t="shared" si="3"/>
        <v>0.07180333333</v>
      </c>
      <c r="AW129" s="34"/>
      <c r="AX129" s="32">
        <f>28.55/500</f>
        <v>0.0571</v>
      </c>
      <c r="AY129" s="46" t="s">
        <v>968</v>
      </c>
      <c r="AZ129" s="34"/>
      <c r="BA129" s="30"/>
      <c r="BB129" s="40">
        <v>45364.0</v>
      </c>
      <c r="BC129" s="35"/>
      <c r="BD129" s="32">
        <f>28.55/500</f>
        <v>0.0571</v>
      </c>
      <c r="BE129" s="46" t="s">
        <v>969</v>
      </c>
      <c r="BF129" s="31"/>
      <c r="BG129" s="30"/>
      <c r="BH129" s="30"/>
      <c r="BI129" s="31"/>
      <c r="BJ129" s="32">
        <f>25.75/500</f>
        <v>0.0515</v>
      </c>
      <c r="BK129" s="46" t="s">
        <v>970</v>
      </c>
      <c r="BL129" s="30"/>
      <c r="BM129" s="30"/>
    </row>
    <row r="130">
      <c r="A130" s="18" t="s">
        <v>25</v>
      </c>
      <c r="B130" s="18" t="s">
        <v>971</v>
      </c>
      <c r="C130" s="19" t="s">
        <v>972</v>
      </c>
      <c r="D130" s="19" t="s">
        <v>67</v>
      </c>
      <c r="E130" s="19" t="s">
        <v>68</v>
      </c>
      <c r="F130" s="20">
        <v>500.0</v>
      </c>
      <c r="G130" s="21">
        <v>1.0</v>
      </c>
      <c r="H130" s="21">
        <v>250.0</v>
      </c>
      <c r="I130" s="21">
        <v>250.0</v>
      </c>
      <c r="J130" s="45"/>
      <c r="K130" s="23">
        <v>0.23</v>
      </c>
      <c r="L130" s="24">
        <v>129.0</v>
      </c>
      <c r="M130" s="25" t="s">
        <v>69</v>
      </c>
      <c r="N130" s="25" t="s">
        <v>70</v>
      </c>
      <c r="O130" s="25">
        <v>2.1000000313E10</v>
      </c>
      <c r="P130" s="26" t="s">
        <v>973</v>
      </c>
      <c r="Q130" s="27" t="s">
        <v>974</v>
      </c>
      <c r="R130" s="28" t="s">
        <v>834</v>
      </c>
      <c r="S130" s="29">
        <f t="shared" si="1"/>
        <v>1000</v>
      </c>
      <c r="T130" s="30"/>
      <c r="U130" s="30"/>
      <c r="V130" s="30"/>
      <c r="W130" s="30"/>
      <c r="X130" s="30"/>
      <c r="Y130" s="30"/>
      <c r="Z130" s="28">
        <v>500.0</v>
      </c>
      <c r="AA130" s="30"/>
      <c r="AB130" s="30"/>
      <c r="AC130" s="38">
        <v>500.0</v>
      </c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1"/>
      <c r="AT130" s="38" t="s">
        <v>678</v>
      </c>
      <c r="AU130" s="32">
        <f t="shared" si="2"/>
        <v>0.2095866667</v>
      </c>
      <c r="AV130" s="33">
        <f t="shared" si="3"/>
        <v>0.2724626667</v>
      </c>
      <c r="AW130" s="34"/>
      <c r="AX130" s="32">
        <f>125.74
/500</f>
        <v>0.25148</v>
      </c>
      <c r="AY130" s="46" t="s">
        <v>975</v>
      </c>
      <c r="AZ130" s="34"/>
      <c r="BA130" s="30"/>
      <c r="BB130" s="40">
        <v>45364.0</v>
      </c>
      <c r="BC130" s="35"/>
      <c r="BD130" s="32">
        <f>119.84/500</f>
        <v>0.23968</v>
      </c>
      <c r="BE130" s="46" t="s">
        <v>976</v>
      </c>
      <c r="BF130" s="31"/>
      <c r="BG130" s="30"/>
      <c r="BH130" s="30"/>
      <c r="BI130" s="31"/>
      <c r="BJ130" s="32">
        <f>68.8/500</f>
        <v>0.1376</v>
      </c>
      <c r="BK130" s="46" t="s">
        <v>977</v>
      </c>
      <c r="BL130" s="30"/>
      <c r="BM130" s="30"/>
    </row>
    <row r="131">
      <c r="A131" s="18" t="s">
        <v>21</v>
      </c>
      <c r="B131" s="18" t="s">
        <v>978</v>
      </c>
      <c r="C131" s="19" t="s">
        <v>979</v>
      </c>
      <c r="D131" s="19" t="s">
        <v>67</v>
      </c>
      <c r="E131" s="19" t="s">
        <v>68</v>
      </c>
      <c r="F131" s="20">
        <v>100.0</v>
      </c>
      <c r="G131" s="21">
        <v>100.0</v>
      </c>
      <c r="H131" s="21">
        <v>4.19</v>
      </c>
      <c r="I131" s="21">
        <v>419.0</v>
      </c>
      <c r="J131" s="45"/>
      <c r="K131" s="23">
        <v>5.68</v>
      </c>
      <c r="L131" s="24">
        <v>130.0</v>
      </c>
      <c r="M131" s="25" t="s">
        <v>69</v>
      </c>
      <c r="N131" s="25" t="s">
        <v>70</v>
      </c>
      <c r="O131" s="25">
        <v>2.1000000636E10</v>
      </c>
      <c r="P131" s="26" t="s">
        <v>980</v>
      </c>
      <c r="Q131" s="27" t="s">
        <v>981</v>
      </c>
      <c r="R131" s="28" t="s">
        <v>834</v>
      </c>
      <c r="S131" s="29">
        <f t="shared" si="1"/>
        <v>100</v>
      </c>
      <c r="T131" s="30"/>
      <c r="U131" s="30"/>
      <c r="V131" s="29">
        <v>100.0</v>
      </c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1"/>
      <c r="AT131" s="38" t="s">
        <v>678</v>
      </c>
      <c r="AU131" s="32">
        <f t="shared" si="2"/>
        <v>5.485866667</v>
      </c>
      <c r="AV131" s="33">
        <f t="shared" si="3"/>
        <v>7.131626667</v>
      </c>
      <c r="AW131" s="34"/>
      <c r="AX131" s="32">
        <f>586.23/100</f>
        <v>5.8623</v>
      </c>
      <c r="AY131" s="46" t="s">
        <v>982</v>
      </c>
      <c r="AZ131" s="34"/>
      <c r="BA131" s="30"/>
      <c r="BB131" s="40">
        <v>45364.0</v>
      </c>
      <c r="BC131" s="35"/>
      <c r="BD131" s="32">
        <f>465.48/100</f>
        <v>4.6548</v>
      </c>
      <c r="BE131" s="46" t="s">
        <v>983</v>
      </c>
      <c r="BF131" s="31"/>
      <c r="BG131" s="30"/>
      <c r="BH131" s="30"/>
      <c r="BI131" s="31"/>
      <c r="BJ131" s="32">
        <f>594.05/100</f>
        <v>5.9405</v>
      </c>
      <c r="BK131" s="46" t="s">
        <v>984</v>
      </c>
      <c r="BL131" s="30"/>
      <c r="BM131" s="30"/>
    </row>
    <row r="132">
      <c r="A132" s="18" t="s">
        <v>21</v>
      </c>
      <c r="B132" s="18" t="s">
        <v>985</v>
      </c>
      <c r="C132" s="19" t="s">
        <v>986</v>
      </c>
      <c r="D132" s="19" t="s">
        <v>67</v>
      </c>
      <c r="E132" s="19" t="s">
        <v>68</v>
      </c>
      <c r="F132" s="20">
        <v>2000.0</v>
      </c>
      <c r="G132" s="21">
        <v>2000.0</v>
      </c>
      <c r="H132" s="21">
        <v>0.09</v>
      </c>
      <c r="I132" s="21">
        <v>180.0</v>
      </c>
      <c r="J132" s="45"/>
      <c r="K132" s="23">
        <v>0.08</v>
      </c>
      <c r="L132" s="24">
        <v>131.0</v>
      </c>
      <c r="M132" s="25" t="s">
        <v>69</v>
      </c>
      <c r="N132" s="25" t="s">
        <v>70</v>
      </c>
      <c r="O132" s="25">
        <v>2.100000004E10</v>
      </c>
      <c r="P132" s="26" t="s">
        <v>987</v>
      </c>
      <c r="Q132" s="27" t="s">
        <v>988</v>
      </c>
      <c r="R132" s="28" t="s">
        <v>834</v>
      </c>
      <c r="S132" s="29">
        <f t="shared" si="1"/>
        <v>12500</v>
      </c>
      <c r="T132" s="30"/>
      <c r="U132" s="30"/>
      <c r="V132" s="29">
        <v>2000.0</v>
      </c>
      <c r="W132" s="30"/>
      <c r="X132" s="30"/>
      <c r="Y132" s="38">
        <v>1000.0</v>
      </c>
      <c r="Z132" s="38">
        <f>3000+5000+1000</f>
        <v>9000</v>
      </c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8">
        <v>500.0</v>
      </c>
      <c r="AL132" s="30"/>
      <c r="AM132" s="30"/>
      <c r="AN132" s="30"/>
      <c r="AO132" s="30"/>
      <c r="AP132" s="30"/>
      <c r="AQ132" s="30"/>
      <c r="AR132" s="30"/>
      <c r="AS132" s="31"/>
      <c r="AT132" s="38" t="s">
        <v>678</v>
      </c>
      <c r="AU132" s="32">
        <f t="shared" si="2"/>
        <v>0.07688</v>
      </c>
      <c r="AV132" s="33">
        <f t="shared" si="3"/>
        <v>0.099944</v>
      </c>
      <c r="AW132" s="34"/>
      <c r="AX132" s="32">
        <f>31.71/500</f>
        <v>0.06342</v>
      </c>
      <c r="AY132" s="46" t="s">
        <v>989</v>
      </c>
      <c r="AZ132" s="34"/>
      <c r="BA132" s="30"/>
      <c r="BB132" s="40">
        <v>45364.0</v>
      </c>
      <c r="BC132" s="35"/>
      <c r="BD132" s="32">
        <f>32.71/500</f>
        <v>0.06542</v>
      </c>
      <c r="BE132" s="46" t="s">
        <v>990</v>
      </c>
      <c r="BF132" s="31"/>
      <c r="BG132" s="30"/>
      <c r="BH132" s="30"/>
      <c r="BI132" s="31"/>
      <c r="BJ132" s="32">
        <f>50.9/500</f>
        <v>0.1018</v>
      </c>
      <c r="BK132" s="46" t="s">
        <v>991</v>
      </c>
      <c r="BL132" s="30"/>
      <c r="BM132" s="30"/>
    </row>
    <row r="133">
      <c r="A133" s="18" t="s">
        <v>25</v>
      </c>
      <c r="B133" s="18" t="s">
        <v>992</v>
      </c>
      <c r="C133" s="19" t="s">
        <v>993</v>
      </c>
      <c r="D133" s="19" t="s">
        <v>67</v>
      </c>
      <c r="E133" s="19" t="s">
        <v>68</v>
      </c>
      <c r="F133" s="20">
        <v>25.0</v>
      </c>
      <c r="G133" s="21">
        <v>1.0</v>
      </c>
      <c r="H133" s="21">
        <v>250.0</v>
      </c>
      <c r="I133" s="21">
        <v>250.0</v>
      </c>
      <c r="J133" s="45"/>
      <c r="K133" s="23">
        <v>20.48</v>
      </c>
      <c r="L133" s="24">
        <v>132.0</v>
      </c>
      <c r="M133" s="25" t="s">
        <v>69</v>
      </c>
      <c r="N133" s="25" t="s">
        <v>70</v>
      </c>
      <c r="O133" s="25">
        <v>2.1000000315E10</v>
      </c>
      <c r="P133" s="26" t="s">
        <v>994</v>
      </c>
      <c r="Q133" s="27" t="s">
        <v>995</v>
      </c>
      <c r="R133" s="28" t="s">
        <v>834</v>
      </c>
      <c r="S133" s="29">
        <f t="shared" si="1"/>
        <v>25</v>
      </c>
      <c r="T133" s="30"/>
      <c r="U133" s="30"/>
      <c r="V133" s="30"/>
      <c r="W133" s="30"/>
      <c r="X133" s="30"/>
      <c r="Y133" s="30"/>
      <c r="Z133" s="28">
        <v>25.0</v>
      </c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1"/>
      <c r="AT133" s="38" t="s">
        <v>678</v>
      </c>
      <c r="AU133" s="32">
        <f t="shared" si="2"/>
        <v>19.98586667</v>
      </c>
      <c r="AV133" s="33">
        <f t="shared" si="3"/>
        <v>25.98162667</v>
      </c>
      <c r="AW133" s="34"/>
      <c r="AX133" s="32">
        <f>504/25</f>
        <v>20.16</v>
      </c>
      <c r="AY133" s="46" t="s">
        <v>996</v>
      </c>
      <c r="AZ133" s="34"/>
      <c r="BA133" s="30"/>
      <c r="BB133" s="40">
        <v>45364.0</v>
      </c>
      <c r="BC133" s="35"/>
      <c r="BD133" s="32">
        <f>556.48/25</f>
        <v>22.2592</v>
      </c>
      <c r="BE133" s="46" t="s">
        <v>997</v>
      </c>
      <c r="BF133" s="31"/>
      <c r="BG133" s="30"/>
      <c r="BH133" s="30"/>
      <c r="BI133" s="31"/>
      <c r="BJ133" s="32">
        <f>438.46/25</f>
        <v>17.5384</v>
      </c>
      <c r="BK133" s="46" t="s">
        <v>998</v>
      </c>
      <c r="BL133" s="30"/>
      <c r="BM133" s="30"/>
    </row>
    <row r="134">
      <c r="A134" s="18" t="s">
        <v>21</v>
      </c>
      <c r="B134" s="18" t="s">
        <v>999</v>
      </c>
      <c r="C134" s="19" t="s">
        <v>1000</v>
      </c>
      <c r="D134" s="19" t="s">
        <v>67</v>
      </c>
      <c r="E134" s="19" t="s">
        <v>68</v>
      </c>
      <c r="F134" s="20">
        <v>1.0</v>
      </c>
      <c r="G134" s="21">
        <v>1.0</v>
      </c>
      <c r="H134" s="21">
        <v>23.84</v>
      </c>
      <c r="I134" s="21">
        <v>23.84</v>
      </c>
      <c r="J134" s="45"/>
      <c r="K134" s="23">
        <v>26.93</v>
      </c>
      <c r="L134" s="24">
        <v>133.0</v>
      </c>
      <c r="M134" s="25" t="s">
        <v>69</v>
      </c>
      <c r="N134" s="25" t="s">
        <v>70</v>
      </c>
      <c r="O134" s="25">
        <v>2.1000000041E10</v>
      </c>
      <c r="P134" s="26" t="s">
        <v>1001</v>
      </c>
      <c r="Q134" s="27" t="s">
        <v>1002</v>
      </c>
      <c r="R134" s="28" t="s">
        <v>849</v>
      </c>
      <c r="S134" s="29">
        <f t="shared" si="1"/>
        <v>14</v>
      </c>
      <c r="T134" s="30"/>
      <c r="U134" s="30"/>
      <c r="V134" s="29">
        <v>1.0</v>
      </c>
      <c r="W134" s="30"/>
      <c r="X134" s="38">
        <v>5.0</v>
      </c>
      <c r="Y134" s="30"/>
      <c r="Z134" s="38">
        <v>8.0</v>
      </c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1"/>
      <c r="AT134" s="38" t="s">
        <v>678</v>
      </c>
      <c r="AU134" s="32">
        <f t="shared" si="2"/>
        <v>26.50333333</v>
      </c>
      <c r="AV134" s="33">
        <f t="shared" si="3"/>
        <v>34.45433333</v>
      </c>
      <c r="AW134" s="34"/>
      <c r="AX134" s="42">
        <v>26.72</v>
      </c>
      <c r="AY134" s="46" t="s">
        <v>1003</v>
      </c>
      <c r="AZ134" s="34"/>
      <c r="BA134" s="30"/>
      <c r="BB134" s="40">
        <v>45364.0</v>
      </c>
      <c r="BC134" s="35"/>
      <c r="BD134" s="42">
        <v>25.0</v>
      </c>
      <c r="BE134" s="86" t="s">
        <v>1004</v>
      </c>
      <c r="BF134" s="31"/>
      <c r="BG134" s="30"/>
      <c r="BH134" s="30"/>
      <c r="BI134" s="31"/>
      <c r="BJ134" s="42">
        <v>27.79</v>
      </c>
      <c r="BK134" s="46" t="s">
        <v>1005</v>
      </c>
      <c r="BL134" s="30"/>
      <c r="BM134" s="30"/>
    </row>
    <row r="135">
      <c r="A135" s="18" t="s">
        <v>25</v>
      </c>
      <c r="B135" s="18" t="s">
        <v>1006</v>
      </c>
      <c r="C135" s="19" t="s">
        <v>1007</v>
      </c>
      <c r="D135" s="19" t="s">
        <v>67</v>
      </c>
      <c r="E135" s="19" t="s">
        <v>68</v>
      </c>
      <c r="F135" s="20">
        <v>250.0</v>
      </c>
      <c r="G135" s="21">
        <v>250.0</v>
      </c>
      <c r="H135" s="21">
        <v>0.0</v>
      </c>
      <c r="I135" s="21">
        <v>0.0</v>
      </c>
      <c r="J135" s="45"/>
      <c r="K135" s="23">
        <v>0.08</v>
      </c>
      <c r="L135" s="24">
        <v>134.0</v>
      </c>
      <c r="M135" s="25" t="s">
        <v>69</v>
      </c>
      <c r="N135" s="25" t="s">
        <v>70</v>
      </c>
      <c r="O135" s="25">
        <v>2.1000000042E10</v>
      </c>
      <c r="P135" s="26" t="s">
        <v>1008</v>
      </c>
      <c r="Q135" s="27" t="s">
        <v>1009</v>
      </c>
      <c r="R135" s="28" t="s">
        <v>79</v>
      </c>
      <c r="S135" s="29">
        <f t="shared" si="1"/>
        <v>500</v>
      </c>
      <c r="T135" s="30"/>
      <c r="U135" s="30"/>
      <c r="V135" s="30"/>
      <c r="W135" s="30"/>
      <c r="X135" s="30"/>
      <c r="Y135" s="30"/>
      <c r="Z135" s="28">
        <v>500.0</v>
      </c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1"/>
      <c r="AT135" s="38" t="s">
        <v>678</v>
      </c>
      <c r="AU135" s="32">
        <f t="shared" si="2"/>
        <v>0.0702</v>
      </c>
      <c r="AV135" s="33">
        <f t="shared" si="3"/>
        <v>0.09126</v>
      </c>
      <c r="AW135" s="34"/>
      <c r="AX135" s="32">
        <f>35.1/500</f>
        <v>0.0702</v>
      </c>
      <c r="AY135" s="46" t="s">
        <v>1010</v>
      </c>
      <c r="AZ135" s="34"/>
      <c r="BA135" s="30"/>
      <c r="BB135" s="40">
        <v>45364.0</v>
      </c>
      <c r="BC135" s="35"/>
      <c r="BD135" s="32"/>
      <c r="BE135" s="31"/>
      <c r="BF135" s="31"/>
      <c r="BG135" s="30"/>
      <c r="BH135" s="30"/>
      <c r="BI135" s="31"/>
      <c r="BJ135" s="32"/>
      <c r="BK135" s="31"/>
      <c r="BL135" s="30"/>
      <c r="BM135" s="30"/>
    </row>
    <row r="136">
      <c r="A136" s="18" t="s">
        <v>25</v>
      </c>
      <c r="B136" s="48" t="s">
        <v>1011</v>
      </c>
      <c r="C136" s="19" t="s">
        <v>1012</v>
      </c>
      <c r="D136" s="19" t="s">
        <v>67</v>
      </c>
      <c r="E136" s="19" t="s">
        <v>68</v>
      </c>
      <c r="F136" s="20">
        <v>100.0</v>
      </c>
      <c r="G136" s="21">
        <v>1.0</v>
      </c>
      <c r="H136" s="21">
        <v>2.0</v>
      </c>
      <c r="I136" s="21">
        <v>2.0</v>
      </c>
      <c r="J136" s="45"/>
      <c r="K136" s="23">
        <v>2.43</v>
      </c>
      <c r="L136" s="24">
        <v>135.0</v>
      </c>
      <c r="M136" s="25" t="s">
        <v>69</v>
      </c>
      <c r="N136" s="25" t="s">
        <v>70</v>
      </c>
      <c r="O136" s="25">
        <v>2.1000000571E10</v>
      </c>
      <c r="P136" s="26" t="s">
        <v>1013</v>
      </c>
      <c r="Q136" s="27" t="s">
        <v>1014</v>
      </c>
      <c r="R136" s="28" t="s">
        <v>79</v>
      </c>
      <c r="S136" s="29">
        <f t="shared" si="1"/>
        <v>1400</v>
      </c>
      <c r="T136" s="30"/>
      <c r="U136" s="30"/>
      <c r="V136" s="30"/>
      <c r="W136" s="30"/>
      <c r="X136" s="30"/>
      <c r="Y136" s="30"/>
      <c r="Z136" s="28">
        <v>100.0</v>
      </c>
      <c r="AA136" s="30"/>
      <c r="AB136" s="30"/>
      <c r="AC136" s="38">
        <v>1300.0</v>
      </c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1"/>
      <c r="AT136" s="38" t="s">
        <v>678</v>
      </c>
      <c r="AU136" s="32">
        <f t="shared" si="2"/>
        <v>2.309566667</v>
      </c>
      <c r="AV136" s="33">
        <f t="shared" si="3"/>
        <v>3.002436667</v>
      </c>
      <c r="AW136" s="34"/>
      <c r="AX136" s="32">
        <f>267.5/100</f>
        <v>2.675</v>
      </c>
      <c r="AY136" s="46" t="s">
        <v>1015</v>
      </c>
      <c r="AZ136" s="34"/>
      <c r="BA136" s="30"/>
      <c r="BB136" s="40">
        <v>45364.0</v>
      </c>
      <c r="BC136" s="35"/>
      <c r="BD136" s="32">
        <f>201.02/100</f>
        <v>2.0102</v>
      </c>
      <c r="BE136" s="46" t="s">
        <v>1016</v>
      </c>
      <c r="BF136" s="31"/>
      <c r="BG136" s="30"/>
      <c r="BH136" s="30"/>
      <c r="BI136" s="31"/>
      <c r="BJ136" s="32">
        <f>224.35/100</f>
        <v>2.2435</v>
      </c>
      <c r="BK136" s="46" t="s">
        <v>1017</v>
      </c>
      <c r="BL136" s="30"/>
      <c r="BM136" s="30"/>
    </row>
    <row r="137">
      <c r="A137" s="18" t="s">
        <v>25</v>
      </c>
      <c r="B137" s="18" t="s">
        <v>1018</v>
      </c>
      <c r="C137" s="19" t="s">
        <v>1019</v>
      </c>
      <c r="D137" s="19" t="s">
        <v>67</v>
      </c>
      <c r="E137" s="19" t="s">
        <v>68</v>
      </c>
      <c r="F137" s="20">
        <v>50.0</v>
      </c>
      <c r="G137" s="21">
        <v>1.0</v>
      </c>
      <c r="H137" s="21">
        <v>252.0</v>
      </c>
      <c r="I137" s="21">
        <v>252.0</v>
      </c>
      <c r="J137" s="45"/>
      <c r="K137" s="23">
        <v>4.75</v>
      </c>
      <c r="L137" s="24">
        <v>136.0</v>
      </c>
      <c r="M137" s="25" t="s">
        <v>69</v>
      </c>
      <c r="N137" s="25" t="s">
        <v>70</v>
      </c>
      <c r="O137" s="25">
        <v>2.1000000576E10</v>
      </c>
      <c r="P137" s="26" t="s">
        <v>1020</v>
      </c>
      <c r="Q137" s="27" t="s">
        <v>1021</v>
      </c>
      <c r="R137" s="28" t="s">
        <v>79</v>
      </c>
      <c r="S137" s="29">
        <f t="shared" si="1"/>
        <v>100</v>
      </c>
      <c r="T137" s="30"/>
      <c r="U137" s="30"/>
      <c r="V137" s="30"/>
      <c r="W137" s="30"/>
      <c r="X137" s="30"/>
      <c r="Y137" s="30"/>
      <c r="Z137" s="28">
        <v>50.0</v>
      </c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8">
        <v>50.0</v>
      </c>
      <c r="AO137" s="30"/>
      <c r="AP137" s="30"/>
      <c r="AQ137" s="30"/>
      <c r="AR137" s="30"/>
      <c r="AS137" s="31"/>
      <c r="AT137" s="38" t="s">
        <v>599</v>
      </c>
      <c r="AU137" s="32" t="str">
        <f t="shared" si="2"/>
        <v>#DIV/0!</v>
      </c>
      <c r="AV137" s="33" t="str">
        <f t="shared" si="3"/>
        <v>#DIV/0!</v>
      </c>
      <c r="AW137" s="34"/>
      <c r="AX137" s="32"/>
      <c r="AY137" s="31"/>
      <c r="AZ137" s="34"/>
      <c r="BA137" s="30"/>
      <c r="BB137" s="30"/>
      <c r="BC137" s="35"/>
      <c r="BD137" s="32"/>
      <c r="BE137" s="31"/>
      <c r="BF137" s="31"/>
      <c r="BG137" s="30"/>
      <c r="BH137" s="30"/>
      <c r="BI137" s="31"/>
      <c r="BJ137" s="32"/>
      <c r="BK137" s="31"/>
      <c r="BL137" s="30"/>
      <c r="BM137" s="30"/>
    </row>
    <row r="138">
      <c r="A138" s="18" t="s">
        <v>25</v>
      </c>
      <c r="B138" s="18" t="s">
        <v>1022</v>
      </c>
      <c r="C138" s="19" t="s">
        <v>1023</v>
      </c>
      <c r="D138" s="19" t="s">
        <v>67</v>
      </c>
      <c r="E138" s="19" t="s">
        <v>68</v>
      </c>
      <c r="F138" s="20">
        <v>7.0</v>
      </c>
      <c r="G138" s="21">
        <v>7.0</v>
      </c>
      <c r="H138" s="21">
        <v>120.0</v>
      </c>
      <c r="I138" s="21">
        <v>840.0</v>
      </c>
      <c r="J138" s="45"/>
      <c r="K138" s="23">
        <v>86.4</v>
      </c>
      <c r="L138" s="24">
        <v>137.0</v>
      </c>
      <c r="M138" s="25" t="s">
        <v>69</v>
      </c>
      <c r="N138" s="25" t="s">
        <v>70</v>
      </c>
      <c r="O138" s="25">
        <v>2.1000000043E10</v>
      </c>
      <c r="P138" s="26" t="s">
        <v>1024</v>
      </c>
      <c r="Q138" s="27" t="s">
        <v>1025</v>
      </c>
      <c r="R138" s="28" t="s">
        <v>904</v>
      </c>
      <c r="S138" s="29">
        <f t="shared" si="1"/>
        <v>12</v>
      </c>
      <c r="T138" s="30"/>
      <c r="U138" s="30"/>
      <c r="V138" s="30"/>
      <c r="W138" s="30"/>
      <c r="X138" s="30"/>
      <c r="Y138" s="30"/>
      <c r="Z138" s="29">
        <f>7+1</f>
        <v>8</v>
      </c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8">
        <f>2+2</f>
        <v>4</v>
      </c>
      <c r="AP138" s="30"/>
      <c r="AQ138" s="30"/>
      <c r="AR138" s="30"/>
      <c r="AS138" s="31"/>
      <c r="AT138" s="38" t="s">
        <v>678</v>
      </c>
      <c r="AU138" s="32">
        <f t="shared" si="2"/>
        <v>89.58</v>
      </c>
      <c r="AV138" s="33">
        <f t="shared" si="3"/>
        <v>116.454</v>
      </c>
      <c r="AW138" s="34"/>
      <c r="AX138" s="42">
        <v>89.58</v>
      </c>
      <c r="AY138" s="46" t="s">
        <v>1026</v>
      </c>
      <c r="AZ138" s="34"/>
      <c r="BA138" s="30"/>
      <c r="BB138" s="40">
        <v>45364.0</v>
      </c>
      <c r="BC138" s="35"/>
      <c r="BD138" s="42"/>
      <c r="BE138" s="50"/>
      <c r="BF138" s="31"/>
      <c r="BG138" s="30"/>
      <c r="BH138" s="30"/>
      <c r="BI138" s="31"/>
      <c r="BJ138" s="32"/>
      <c r="BK138" s="31"/>
      <c r="BL138" s="30"/>
      <c r="BM138" s="30"/>
    </row>
    <row r="139">
      <c r="A139" s="18" t="s">
        <v>25</v>
      </c>
      <c r="B139" s="18" t="s">
        <v>1027</v>
      </c>
      <c r="C139" s="19" t="s">
        <v>1028</v>
      </c>
      <c r="D139" s="19" t="s">
        <v>67</v>
      </c>
      <c r="E139" s="19" t="s">
        <v>68</v>
      </c>
      <c r="F139" s="20">
        <v>100.0</v>
      </c>
      <c r="G139" s="21">
        <v>1.0</v>
      </c>
      <c r="H139" s="21">
        <v>47.0</v>
      </c>
      <c r="I139" s="21">
        <v>47.0</v>
      </c>
      <c r="J139" s="45"/>
      <c r="K139" s="23">
        <v>0.25</v>
      </c>
      <c r="L139" s="24">
        <v>138.0</v>
      </c>
      <c r="M139" s="25" t="s">
        <v>69</v>
      </c>
      <c r="N139" s="25" t="s">
        <v>70</v>
      </c>
      <c r="O139" s="25">
        <v>2.1000000371E10</v>
      </c>
      <c r="P139" s="26" t="s">
        <v>1029</v>
      </c>
      <c r="Q139" s="27" t="s">
        <v>1030</v>
      </c>
      <c r="R139" s="28" t="s">
        <v>79</v>
      </c>
      <c r="S139" s="29">
        <f t="shared" si="1"/>
        <v>100</v>
      </c>
      <c r="T139" s="30"/>
      <c r="U139" s="30"/>
      <c r="V139" s="30"/>
      <c r="W139" s="30"/>
      <c r="X139" s="30"/>
      <c r="Y139" s="30"/>
      <c r="Z139" s="28">
        <v>100.0</v>
      </c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1"/>
      <c r="AT139" s="38" t="s">
        <v>678</v>
      </c>
      <c r="AU139" s="32">
        <f t="shared" si="2"/>
        <v>0.29219</v>
      </c>
      <c r="AV139" s="33">
        <f t="shared" si="3"/>
        <v>0.379847</v>
      </c>
      <c r="AW139" s="34"/>
      <c r="AX139" s="32">
        <f>193.8/500</f>
        <v>0.3876</v>
      </c>
      <c r="AY139" s="46" t="s">
        <v>1031</v>
      </c>
      <c r="AZ139" s="34"/>
      <c r="BA139" s="30"/>
      <c r="BB139" s="40">
        <v>45364.0</v>
      </c>
      <c r="BC139" s="35"/>
      <c r="BD139" s="32">
        <f>98.39/500</f>
        <v>0.19678</v>
      </c>
      <c r="BE139" s="46" t="s">
        <v>1032</v>
      </c>
      <c r="BF139" s="31"/>
      <c r="BG139" s="30"/>
      <c r="BH139" s="30"/>
      <c r="BI139" s="31"/>
      <c r="BJ139" s="32"/>
      <c r="BK139" s="31"/>
      <c r="BL139" s="30"/>
      <c r="BM139" s="30"/>
    </row>
    <row r="140">
      <c r="A140" s="18" t="s">
        <v>33</v>
      </c>
      <c r="B140" s="18" t="s">
        <v>1033</v>
      </c>
      <c r="C140" s="19" t="s">
        <v>1034</v>
      </c>
      <c r="D140" s="19" t="s">
        <v>67</v>
      </c>
      <c r="E140" s="19" t="s">
        <v>68</v>
      </c>
      <c r="F140" s="20">
        <v>3.0</v>
      </c>
      <c r="G140" s="21">
        <v>3.0</v>
      </c>
      <c r="H140" s="21">
        <v>100.0</v>
      </c>
      <c r="I140" s="21">
        <v>300.0</v>
      </c>
      <c r="J140" s="36" t="s">
        <v>1035</v>
      </c>
      <c r="K140" s="78">
        <v>78.24</v>
      </c>
      <c r="L140" s="24">
        <v>139.0</v>
      </c>
      <c r="M140" s="25" t="s">
        <v>69</v>
      </c>
      <c r="N140" s="25" t="s">
        <v>70</v>
      </c>
      <c r="O140" s="25">
        <v>2.1000000668E10</v>
      </c>
      <c r="P140" s="26" t="s">
        <v>1036</v>
      </c>
      <c r="Q140" s="27" t="s">
        <v>1037</v>
      </c>
      <c r="R140" s="28" t="s">
        <v>299</v>
      </c>
      <c r="S140" s="29">
        <f t="shared" si="1"/>
        <v>3</v>
      </c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29">
        <v>3.0</v>
      </c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1"/>
      <c r="AT140" s="30"/>
      <c r="AU140" s="32" t="str">
        <f t="shared" si="2"/>
        <v>#DIV/0!</v>
      </c>
      <c r="AV140" s="33" t="str">
        <f t="shared" si="3"/>
        <v>#DIV/0!</v>
      </c>
      <c r="AW140" s="34"/>
      <c r="AX140" s="32"/>
      <c r="AY140" s="31"/>
      <c r="AZ140" s="34"/>
      <c r="BA140" s="30"/>
      <c r="BB140" s="30"/>
      <c r="BC140" s="35"/>
      <c r="BD140" s="32"/>
      <c r="BE140" s="31"/>
      <c r="BF140" s="31"/>
      <c r="BG140" s="30"/>
      <c r="BH140" s="30"/>
      <c r="BI140" s="31"/>
      <c r="BJ140" s="32"/>
      <c r="BK140" s="31"/>
      <c r="BL140" s="30"/>
      <c r="BM140" s="30"/>
    </row>
    <row r="141">
      <c r="A141" s="18" t="s">
        <v>25</v>
      </c>
      <c r="B141" s="18" t="s">
        <v>1038</v>
      </c>
      <c r="C141" s="19" t="s">
        <v>1039</v>
      </c>
      <c r="D141" s="19" t="s">
        <v>67</v>
      </c>
      <c r="E141" s="19" t="s">
        <v>68</v>
      </c>
      <c r="F141" s="20">
        <v>1.0</v>
      </c>
      <c r="G141" s="21">
        <v>1.0</v>
      </c>
      <c r="H141" s="21">
        <v>433.0</v>
      </c>
      <c r="I141" s="21">
        <v>433.0</v>
      </c>
      <c r="J141" s="45"/>
      <c r="K141" s="23">
        <v>491.4</v>
      </c>
      <c r="L141" s="24">
        <v>140.0</v>
      </c>
      <c r="M141" s="25" t="s">
        <v>69</v>
      </c>
      <c r="N141" s="25" t="s">
        <v>70</v>
      </c>
      <c r="O141" s="25">
        <v>2.1000000501E10</v>
      </c>
      <c r="P141" s="26" t="s">
        <v>1040</v>
      </c>
      <c r="Q141" s="27" t="s">
        <v>1041</v>
      </c>
      <c r="R141" s="28" t="s">
        <v>1042</v>
      </c>
      <c r="S141" s="29">
        <f t="shared" si="1"/>
        <v>1</v>
      </c>
      <c r="T141" s="30"/>
      <c r="U141" s="30"/>
      <c r="V141" s="30"/>
      <c r="W141" s="30"/>
      <c r="X141" s="30"/>
      <c r="Y141" s="30"/>
      <c r="Z141" s="29">
        <v>1.0</v>
      </c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1"/>
      <c r="AT141" s="38" t="s">
        <v>678</v>
      </c>
      <c r="AU141" s="32">
        <f t="shared" si="2"/>
        <v>476.2866667</v>
      </c>
      <c r="AV141" s="33">
        <f t="shared" si="3"/>
        <v>619.1726667</v>
      </c>
      <c r="AW141" s="34"/>
      <c r="AX141" s="42">
        <v>490.0</v>
      </c>
      <c r="AY141" s="46" t="s">
        <v>1043</v>
      </c>
      <c r="AZ141" s="34"/>
      <c r="BA141" s="30"/>
      <c r="BB141" s="40">
        <v>45364.0</v>
      </c>
      <c r="BC141" s="35"/>
      <c r="BD141" s="42">
        <v>472.0</v>
      </c>
      <c r="BE141" s="46" t="s">
        <v>1044</v>
      </c>
      <c r="BF141" s="31"/>
      <c r="BG141" s="30"/>
      <c r="BH141" s="30"/>
      <c r="BI141" s="31"/>
      <c r="BJ141" s="42">
        <v>466.86</v>
      </c>
      <c r="BK141" s="46" t="s">
        <v>1045</v>
      </c>
      <c r="BL141" s="30"/>
      <c r="BM141" s="30"/>
    </row>
    <row r="142">
      <c r="A142" s="18" t="s">
        <v>25</v>
      </c>
      <c r="B142" s="18" t="s">
        <v>1046</v>
      </c>
      <c r="C142" s="19" t="s">
        <v>1047</v>
      </c>
      <c r="D142" s="19" t="s">
        <v>67</v>
      </c>
      <c r="E142" s="19" t="s">
        <v>68</v>
      </c>
      <c r="F142" s="20">
        <v>5.0</v>
      </c>
      <c r="G142" s="21">
        <v>5.0</v>
      </c>
      <c r="H142" s="21">
        <v>49.0</v>
      </c>
      <c r="I142" s="21">
        <v>245.0</v>
      </c>
      <c r="J142" s="45"/>
      <c r="K142" s="23">
        <v>71.9</v>
      </c>
      <c r="L142" s="24">
        <v>141.0</v>
      </c>
      <c r="M142" s="25" t="s">
        <v>69</v>
      </c>
      <c r="N142" s="25" t="s">
        <v>70</v>
      </c>
      <c r="O142" s="25">
        <v>2.1000000045E10</v>
      </c>
      <c r="P142" s="26" t="s">
        <v>1048</v>
      </c>
      <c r="Q142" s="27" t="s">
        <v>1049</v>
      </c>
      <c r="R142" s="28" t="s">
        <v>299</v>
      </c>
      <c r="S142" s="29">
        <f t="shared" si="1"/>
        <v>13</v>
      </c>
      <c r="T142" s="30"/>
      <c r="U142" s="30"/>
      <c r="V142" s="30"/>
      <c r="W142" s="30"/>
      <c r="X142" s="30"/>
      <c r="Y142" s="30"/>
      <c r="Z142" s="29">
        <v>5.0</v>
      </c>
      <c r="AA142" s="30"/>
      <c r="AB142" s="30"/>
      <c r="AC142" s="30"/>
      <c r="AD142" s="30"/>
      <c r="AE142" s="30"/>
      <c r="AF142" s="30"/>
      <c r="AG142" s="30"/>
      <c r="AH142" s="38">
        <v>5.0</v>
      </c>
      <c r="AI142" s="30"/>
      <c r="AJ142" s="30"/>
      <c r="AK142" s="30"/>
      <c r="AL142" s="30"/>
      <c r="AM142" s="30"/>
      <c r="AN142" s="30"/>
      <c r="AO142" s="38">
        <v>3.0</v>
      </c>
      <c r="AP142" s="30"/>
      <c r="AQ142" s="30"/>
      <c r="AR142" s="30"/>
      <c r="AS142" s="31"/>
      <c r="AT142" s="38" t="s">
        <v>678</v>
      </c>
      <c r="AU142" s="32">
        <f t="shared" si="2"/>
        <v>66.3</v>
      </c>
      <c r="AV142" s="33">
        <f t="shared" si="3"/>
        <v>86.19</v>
      </c>
      <c r="AW142" s="34"/>
      <c r="AX142" s="42">
        <v>85.0</v>
      </c>
      <c r="AY142" s="46" t="s">
        <v>1050</v>
      </c>
      <c r="AZ142" s="34"/>
      <c r="BA142" s="30"/>
      <c r="BB142" s="40">
        <v>45364.0</v>
      </c>
      <c r="BC142" s="35"/>
      <c r="BD142" s="42">
        <v>54.0</v>
      </c>
      <c r="BE142" s="46" t="s">
        <v>1051</v>
      </c>
      <c r="BF142" s="31"/>
      <c r="BG142" s="30"/>
      <c r="BH142" s="30"/>
      <c r="BI142" s="31"/>
      <c r="BJ142" s="42">
        <v>59.9</v>
      </c>
      <c r="BK142" s="46" t="s">
        <v>1052</v>
      </c>
      <c r="BL142" s="30"/>
      <c r="BM142" s="30"/>
    </row>
    <row r="143">
      <c r="A143" s="18" t="s">
        <v>25</v>
      </c>
      <c r="B143" s="18" t="s">
        <v>1053</v>
      </c>
      <c r="C143" s="19" t="s">
        <v>1054</v>
      </c>
      <c r="D143" s="19" t="s">
        <v>67</v>
      </c>
      <c r="E143" s="19" t="s">
        <v>68</v>
      </c>
      <c r="F143" s="20">
        <v>1.0</v>
      </c>
      <c r="G143" s="21">
        <v>1.0</v>
      </c>
      <c r="H143" s="21">
        <v>114.0</v>
      </c>
      <c r="I143" s="21">
        <v>114.0</v>
      </c>
      <c r="J143" s="45"/>
      <c r="K143" s="23">
        <v>70.78</v>
      </c>
      <c r="L143" s="24">
        <v>142.0</v>
      </c>
      <c r="M143" s="25" t="s">
        <v>69</v>
      </c>
      <c r="N143" s="25" t="s">
        <v>70</v>
      </c>
      <c r="O143" s="25">
        <v>2.1000000046E10</v>
      </c>
      <c r="P143" s="26" t="s">
        <v>1055</v>
      </c>
      <c r="Q143" s="27" t="s">
        <v>1056</v>
      </c>
      <c r="R143" s="28" t="s">
        <v>299</v>
      </c>
      <c r="S143" s="29">
        <f t="shared" si="1"/>
        <v>15</v>
      </c>
      <c r="T143" s="30"/>
      <c r="U143" s="30"/>
      <c r="V143" s="30"/>
      <c r="W143" s="38">
        <v>1.0</v>
      </c>
      <c r="X143" s="30"/>
      <c r="Y143" s="30"/>
      <c r="Z143" s="29">
        <v>1.0</v>
      </c>
      <c r="AA143" s="38">
        <v>1.0</v>
      </c>
      <c r="AB143" s="30"/>
      <c r="AC143" s="30"/>
      <c r="AD143" s="30"/>
      <c r="AE143" s="30"/>
      <c r="AF143" s="30"/>
      <c r="AG143" s="30"/>
      <c r="AH143" s="30"/>
      <c r="AI143" s="30"/>
      <c r="AJ143" s="30"/>
      <c r="AK143" s="38">
        <v>2.0</v>
      </c>
      <c r="AL143" s="30"/>
      <c r="AM143" s="30"/>
      <c r="AN143" s="30"/>
      <c r="AO143" s="38">
        <v>10.0</v>
      </c>
      <c r="AP143" s="30"/>
      <c r="AQ143" s="30"/>
      <c r="AR143" s="30"/>
      <c r="AS143" s="31"/>
      <c r="AT143" s="38" t="s">
        <v>678</v>
      </c>
      <c r="AU143" s="32">
        <f t="shared" si="2"/>
        <v>121.81</v>
      </c>
      <c r="AV143" s="33">
        <f t="shared" si="3"/>
        <v>158.353</v>
      </c>
      <c r="AW143" s="34"/>
      <c r="AX143" s="42">
        <v>98.0</v>
      </c>
      <c r="AY143" s="46" t="s">
        <v>1057</v>
      </c>
      <c r="AZ143" s="34"/>
      <c r="BA143" s="30"/>
      <c r="BB143" s="40">
        <v>45364.0</v>
      </c>
      <c r="BC143" s="35"/>
      <c r="BD143" s="42">
        <v>132.0</v>
      </c>
      <c r="BE143" s="46" t="s">
        <v>1058</v>
      </c>
      <c r="BF143" s="31"/>
      <c r="BG143" s="30"/>
      <c r="BH143" s="30"/>
      <c r="BI143" s="31"/>
      <c r="BJ143" s="42">
        <v>135.43</v>
      </c>
      <c r="BK143" s="46" t="s">
        <v>1059</v>
      </c>
      <c r="BL143" s="30"/>
      <c r="BM143" s="30"/>
    </row>
    <row r="144">
      <c r="A144" s="18" t="s">
        <v>25</v>
      </c>
      <c r="B144" s="18" t="s">
        <v>1060</v>
      </c>
      <c r="C144" s="19" t="s">
        <v>1061</v>
      </c>
      <c r="D144" s="19" t="s">
        <v>67</v>
      </c>
      <c r="E144" s="19" t="s">
        <v>68</v>
      </c>
      <c r="F144" s="20">
        <v>1.0</v>
      </c>
      <c r="G144" s="21">
        <v>1.0</v>
      </c>
      <c r="H144" s="21">
        <v>346.0</v>
      </c>
      <c r="I144" s="21">
        <v>346.0</v>
      </c>
      <c r="J144" s="45"/>
      <c r="K144" s="23">
        <v>442.43</v>
      </c>
      <c r="L144" s="24">
        <v>143.0</v>
      </c>
      <c r="M144" s="25" t="s">
        <v>69</v>
      </c>
      <c r="N144" s="25" t="s">
        <v>70</v>
      </c>
      <c r="O144" s="25">
        <v>2.1000000499E10</v>
      </c>
      <c r="P144" s="26" t="s">
        <v>1062</v>
      </c>
      <c r="Q144" s="27" t="s">
        <v>1063</v>
      </c>
      <c r="R144" s="28" t="s">
        <v>299</v>
      </c>
      <c r="S144" s="29">
        <f t="shared" si="1"/>
        <v>1</v>
      </c>
      <c r="T144" s="30"/>
      <c r="U144" s="30"/>
      <c r="V144" s="30"/>
      <c r="W144" s="30"/>
      <c r="X144" s="30"/>
      <c r="Y144" s="30"/>
      <c r="Z144" s="29">
        <v>1.0</v>
      </c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1"/>
      <c r="AT144" s="38" t="s">
        <v>678</v>
      </c>
      <c r="AU144" s="32" t="str">
        <f t="shared" si="2"/>
        <v>#DIV/0!</v>
      </c>
      <c r="AV144" s="33" t="str">
        <f t="shared" si="3"/>
        <v>#DIV/0!</v>
      </c>
      <c r="AW144" s="34"/>
      <c r="AX144" s="32"/>
      <c r="AY144" s="31"/>
      <c r="AZ144" s="34"/>
      <c r="BA144" s="30"/>
      <c r="BB144" s="40">
        <v>45364.0</v>
      </c>
      <c r="BC144" s="35"/>
      <c r="BD144" s="32"/>
      <c r="BE144" s="31"/>
      <c r="BF144" s="31"/>
      <c r="BG144" s="30"/>
      <c r="BH144" s="30"/>
      <c r="BI144" s="31"/>
      <c r="BJ144" s="32"/>
      <c r="BK144" s="31"/>
      <c r="BL144" s="30"/>
      <c r="BM144" s="30"/>
    </row>
    <row r="145">
      <c r="A145" s="18" t="s">
        <v>25</v>
      </c>
      <c r="B145" s="18" t="s">
        <v>1064</v>
      </c>
      <c r="C145" s="19" t="s">
        <v>1065</v>
      </c>
      <c r="D145" s="19" t="s">
        <v>67</v>
      </c>
      <c r="E145" s="19" t="s">
        <v>68</v>
      </c>
      <c r="F145" s="20">
        <v>500.0</v>
      </c>
      <c r="G145" s="21">
        <v>1.0</v>
      </c>
      <c r="H145" s="21">
        <v>122.0</v>
      </c>
      <c r="I145" s="21">
        <v>122.0</v>
      </c>
      <c r="J145" s="45"/>
      <c r="K145" s="23">
        <v>0.26</v>
      </c>
      <c r="L145" s="24">
        <v>144.0</v>
      </c>
      <c r="M145" s="25" t="s">
        <v>69</v>
      </c>
      <c r="N145" s="25" t="s">
        <v>70</v>
      </c>
      <c r="O145" s="25">
        <v>2.1000000137E10</v>
      </c>
      <c r="P145" s="26" t="s">
        <v>1066</v>
      </c>
      <c r="Q145" s="27" t="s">
        <v>1067</v>
      </c>
      <c r="R145" s="28" t="s">
        <v>1068</v>
      </c>
      <c r="S145" s="29">
        <f t="shared" si="1"/>
        <v>1000</v>
      </c>
      <c r="T145" s="30"/>
      <c r="U145" s="30"/>
      <c r="V145" s="30"/>
      <c r="W145" s="30"/>
      <c r="X145" s="30"/>
      <c r="Y145" s="30"/>
      <c r="Z145" s="28">
        <f>500+500</f>
        <v>1000</v>
      </c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1"/>
      <c r="AT145" s="38" t="s">
        <v>678</v>
      </c>
      <c r="AU145" s="32">
        <f t="shared" si="2"/>
        <v>0.23538</v>
      </c>
      <c r="AV145" s="33">
        <f t="shared" si="3"/>
        <v>0.305994</v>
      </c>
      <c r="AW145" s="34"/>
      <c r="AX145" s="42">
        <f>117.69/500</f>
        <v>0.23538</v>
      </c>
      <c r="AY145" s="46" t="s">
        <v>1069</v>
      </c>
      <c r="AZ145" s="34"/>
      <c r="BA145" s="30"/>
      <c r="BB145" s="40">
        <v>45364.0</v>
      </c>
      <c r="BC145" s="35"/>
      <c r="BD145" s="32"/>
      <c r="BE145" s="31"/>
      <c r="BF145" s="31"/>
      <c r="BG145" s="30"/>
      <c r="BH145" s="30"/>
      <c r="BI145" s="31"/>
      <c r="BJ145" s="32"/>
      <c r="BK145" s="31"/>
      <c r="BL145" s="30"/>
      <c r="BM145" s="30"/>
    </row>
    <row r="146">
      <c r="A146" s="18" t="s">
        <v>32</v>
      </c>
      <c r="B146" s="48" t="s">
        <v>1070</v>
      </c>
      <c r="C146" s="19" t="s">
        <v>1071</v>
      </c>
      <c r="D146" s="19" t="s">
        <v>67</v>
      </c>
      <c r="E146" s="19" t="s">
        <v>68</v>
      </c>
      <c r="F146" s="20">
        <v>2.0</v>
      </c>
      <c r="G146" s="21">
        <v>2.0</v>
      </c>
      <c r="H146" s="21">
        <v>150.0</v>
      </c>
      <c r="I146" s="21">
        <v>300.0</v>
      </c>
      <c r="J146" s="36" t="s">
        <v>1072</v>
      </c>
      <c r="K146" s="23">
        <v>122.46</v>
      </c>
      <c r="L146" s="24">
        <v>145.0</v>
      </c>
      <c r="M146" s="25" t="s">
        <v>69</v>
      </c>
      <c r="N146" s="25" t="s">
        <v>70</v>
      </c>
      <c r="O146" s="25">
        <v>2.1000000652E10</v>
      </c>
      <c r="P146" s="26" t="s">
        <v>1073</v>
      </c>
      <c r="Q146" s="27" t="s">
        <v>1074</v>
      </c>
      <c r="R146" s="28" t="s">
        <v>1075</v>
      </c>
      <c r="S146" s="29">
        <f t="shared" si="1"/>
        <v>4</v>
      </c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29"/>
      <c r="AG146" s="29">
        <v>2.0</v>
      </c>
      <c r="AH146" s="30"/>
      <c r="AI146" s="30"/>
      <c r="AJ146" s="30"/>
      <c r="AK146" s="38">
        <v>2.0</v>
      </c>
      <c r="AL146" s="30"/>
      <c r="AM146" s="30"/>
      <c r="AN146" s="30"/>
      <c r="AO146" s="30"/>
      <c r="AP146" s="30"/>
      <c r="AQ146" s="30"/>
      <c r="AR146" s="30"/>
      <c r="AS146" s="31"/>
      <c r="AT146" s="38" t="s">
        <v>678</v>
      </c>
      <c r="AU146" s="32">
        <f t="shared" si="2"/>
        <v>121.1866667</v>
      </c>
      <c r="AV146" s="33">
        <f t="shared" si="3"/>
        <v>157.5426667</v>
      </c>
      <c r="AW146" s="34"/>
      <c r="AX146" s="42">
        <v>108.9</v>
      </c>
      <c r="AY146" s="46" t="s">
        <v>1076</v>
      </c>
      <c r="AZ146" s="34"/>
      <c r="BA146" s="30"/>
      <c r="BB146" s="40">
        <v>45364.0</v>
      </c>
      <c r="BC146" s="35"/>
      <c r="BD146" s="42">
        <v>144.76</v>
      </c>
      <c r="BE146" s="46" t="s">
        <v>1077</v>
      </c>
      <c r="BF146" s="31"/>
      <c r="BG146" s="30"/>
      <c r="BH146" s="30"/>
      <c r="BI146" s="31"/>
      <c r="BJ146" s="42">
        <v>109.9</v>
      </c>
      <c r="BK146" s="46" t="s">
        <v>1078</v>
      </c>
      <c r="BL146" s="30"/>
      <c r="BM146" s="30"/>
    </row>
    <row r="147">
      <c r="A147" s="18" t="s">
        <v>25</v>
      </c>
      <c r="B147" s="18" t="s">
        <v>1079</v>
      </c>
      <c r="C147" s="19" t="s">
        <v>1080</v>
      </c>
      <c r="D147" s="19" t="s">
        <v>67</v>
      </c>
      <c r="E147" s="19" t="s">
        <v>68</v>
      </c>
      <c r="F147" s="20">
        <v>10.0</v>
      </c>
      <c r="G147" s="21">
        <v>10.0</v>
      </c>
      <c r="H147" s="21">
        <v>105.0</v>
      </c>
      <c r="I147" s="21">
        <v>1050.0</v>
      </c>
      <c r="J147" s="45"/>
      <c r="K147" s="23">
        <v>257.54</v>
      </c>
      <c r="L147" s="24">
        <v>146.0</v>
      </c>
      <c r="M147" s="25" t="s">
        <v>69</v>
      </c>
      <c r="N147" s="25" t="s">
        <v>70</v>
      </c>
      <c r="O147" s="25">
        <v>2.100000014E10</v>
      </c>
      <c r="P147" s="26" t="s">
        <v>1081</v>
      </c>
      <c r="Q147" s="27" t="s">
        <v>1082</v>
      </c>
      <c r="R147" s="28" t="s">
        <v>124</v>
      </c>
      <c r="S147" s="29">
        <f t="shared" si="1"/>
        <v>10</v>
      </c>
      <c r="T147" s="30"/>
      <c r="U147" s="30"/>
      <c r="V147" s="30"/>
      <c r="W147" s="30"/>
      <c r="X147" s="30"/>
      <c r="Y147" s="30"/>
      <c r="Z147" s="29">
        <v>10.0</v>
      </c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1"/>
      <c r="AT147" s="38" t="s">
        <v>678</v>
      </c>
      <c r="AU147" s="32">
        <f t="shared" si="2"/>
        <v>149.99</v>
      </c>
      <c r="AV147" s="33">
        <f t="shared" si="3"/>
        <v>194.987</v>
      </c>
      <c r="AW147" s="34"/>
      <c r="AX147" s="42">
        <v>149.99</v>
      </c>
      <c r="AY147" s="46" t="s">
        <v>1083</v>
      </c>
      <c r="AZ147" s="34"/>
      <c r="BA147" s="30"/>
      <c r="BB147" s="30"/>
      <c r="BC147" s="35"/>
      <c r="BD147" s="32"/>
      <c r="BE147" s="31"/>
      <c r="BF147" s="31"/>
      <c r="BG147" s="30"/>
      <c r="BH147" s="30"/>
      <c r="BI147" s="31"/>
      <c r="BJ147" s="32"/>
      <c r="BK147" s="31"/>
      <c r="BL147" s="30"/>
      <c r="BM147" s="30"/>
    </row>
    <row r="148">
      <c r="A148" s="18" t="s">
        <v>25</v>
      </c>
      <c r="B148" s="18" t="s">
        <v>1084</v>
      </c>
      <c r="C148" s="19" t="s">
        <v>1085</v>
      </c>
      <c r="D148" s="19" t="s">
        <v>67</v>
      </c>
      <c r="E148" s="19" t="s">
        <v>68</v>
      </c>
      <c r="F148" s="20">
        <v>5.0</v>
      </c>
      <c r="G148" s="21">
        <v>5.0</v>
      </c>
      <c r="H148" s="21">
        <v>51.0</v>
      </c>
      <c r="I148" s="21">
        <v>255.0</v>
      </c>
      <c r="J148" s="45"/>
      <c r="K148" s="23">
        <v>71.12</v>
      </c>
      <c r="L148" s="24">
        <v>147.0</v>
      </c>
      <c r="M148" s="25" t="s">
        <v>69</v>
      </c>
      <c r="N148" s="25" t="s">
        <v>70</v>
      </c>
      <c r="O148" s="25">
        <v>2.1000000139E10</v>
      </c>
      <c r="P148" s="26" t="s">
        <v>1086</v>
      </c>
      <c r="Q148" s="27" t="s">
        <v>1087</v>
      </c>
      <c r="R148" s="28" t="s">
        <v>124</v>
      </c>
      <c r="S148" s="29">
        <f t="shared" si="1"/>
        <v>5</v>
      </c>
      <c r="T148" s="30"/>
      <c r="U148" s="30"/>
      <c r="V148" s="30"/>
      <c r="W148" s="30"/>
      <c r="X148" s="30"/>
      <c r="Y148" s="30"/>
      <c r="Z148" s="29">
        <v>5.0</v>
      </c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1"/>
      <c r="AT148" s="38" t="s">
        <v>678</v>
      </c>
      <c r="AU148" s="32">
        <f t="shared" si="2"/>
        <v>63.99</v>
      </c>
      <c r="AV148" s="33">
        <f t="shared" si="3"/>
        <v>83.187</v>
      </c>
      <c r="AW148" s="34"/>
      <c r="AX148" s="42">
        <v>63.99</v>
      </c>
      <c r="AY148" s="46" t="s">
        <v>1088</v>
      </c>
      <c r="AZ148" s="34"/>
      <c r="BA148" s="30"/>
      <c r="BB148" s="40">
        <v>45364.0</v>
      </c>
      <c r="BC148" s="35"/>
      <c r="BD148" s="32"/>
      <c r="BE148" s="31"/>
      <c r="BF148" s="31"/>
      <c r="BG148" s="30"/>
      <c r="BH148" s="30"/>
      <c r="BI148" s="31"/>
      <c r="BJ148" s="32"/>
      <c r="BK148" s="31"/>
      <c r="BL148" s="30"/>
      <c r="BM148" s="30"/>
    </row>
    <row r="149">
      <c r="A149" s="18" t="s">
        <v>25</v>
      </c>
      <c r="B149" s="18" t="s">
        <v>1089</v>
      </c>
      <c r="C149" s="19" t="s">
        <v>1090</v>
      </c>
      <c r="D149" s="19" t="s">
        <v>67</v>
      </c>
      <c r="E149" s="19" t="s">
        <v>68</v>
      </c>
      <c r="F149" s="20">
        <v>500.0</v>
      </c>
      <c r="G149" s="21">
        <v>2.0</v>
      </c>
      <c r="H149" s="21">
        <v>0.0</v>
      </c>
      <c r="I149" s="21">
        <v>0.0</v>
      </c>
      <c r="J149" s="45"/>
      <c r="K149" s="23">
        <v>0.28</v>
      </c>
      <c r="L149" s="24">
        <v>148.0</v>
      </c>
      <c r="M149" s="25" t="s">
        <v>69</v>
      </c>
      <c r="N149" s="25" t="s">
        <v>70</v>
      </c>
      <c r="O149" s="25">
        <v>2.1000000142E10</v>
      </c>
      <c r="P149" s="26" t="s">
        <v>1091</v>
      </c>
      <c r="Q149" s="27" t="s">
        <v>1092</v>
      </c>
      <c r="R149" s="28" t="s">
        <v>79</v>
      </c>
      <c r="S149" s="29">
        <f t="shared" si="1"/>
        <v>750</v>
      </c>
      <c r="T149" s="30"/>
      <c r="U149" s="30"/>
      <c r="V149" s="30"/>
      <c r="W149" s="30"/>
      <c r="X149" s="30"/>
      <c r="Y149" s="30"/>
      <c r="Z149" s="28">
        <f>500+250</f>
        <v>750</v>
      </c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1"/>
      <c r="AT149" s="38" t="s">
        <v>81</v>
      </c>
      <c r="AU149" s="32">
        <f t="shared" si="2"/>
        <v>0.2628</v>
      </c>
      <c r="AV149" s="33">
        <f t="shared" si="3"/>
        <v>0.34164</v>
      </c>
      <c r="AW149" s="34"/>
      <c r="AX149" s="32">
        <f>131.4/500</f>
        <v>0.2628</v>
      </c>
      <c r="AY149" s="39" t="s">
        <v>1093</v>
      </c>
      <c r="AZ149" s="34"/>
      <c r="BA149" s="30"/>
      <c r="BB149" s="40">
        <v>45364.0</v>
      </c>
      <c r="BC149" s="35"/>
      <c r="BD149" s="32"/>
      <c r="BE149" s="31"/>
      <c r="BF149" s="31"/>
      <c r="BG149" s="30"/>
      <c r="BH149" s="30"/>
      <c r="BI149" s="31"/>
      <c r="BJ149" s="32"/>
      <c r="BK149" s="31"/>
      <c r="BL149" s="30"/>
      <c r="BM149" s="30"/>
    </row>
    <row r="150">
      <c r="A150" s="18" t="s">
        <v>25</v>
      </c>
      <c r="B150" s="18" t="s">
        <v>1094</v>
      </c>
      <c r="C150" s="19" t="s">
        <v>1095</v>
      </c>
      <c r="D150" s="19" t="s">
        <v>67</v>
      </c>
      <c r="E150" s="19" t="s">
        <v>68</v>
      </c>
      <c r="F150" s="20">
        <v>1.0</v>
      </c>
      <c r="G150" s="21">
        <v>1.0</v>
      </c>
      <c r="H150" s="21">
        <v>162.0</v>
      </c>
      <c r="I150" s="21">
        <v>162.0</v>
      </c>
      <c r="J150" s="45"/>
      <c r="K150" s="23">
        <v>0.47</v>
      </c>
      <c r="L150" s="24">
        <v>149.0</v>
      </c>
      <c r="M150" s="25" t="s">
        <v>69</v>
      </c>
      <c r="N150" s="25" t="s">
        <v>70</v>
      </c>
      <c r="O150" s="25">
        <v>2.1000000141E10</v>
      </c>
      <c r="P150" s="26" t="s">
        <v>1096</v>
      </c>
      <c r="Q150" s="27" t="s">
        <v>1097</v>
      </c>
      <c r="R150" s="28" t="s">
        <v>79</v>
      </c>
      <c r="S150" s="29">
        <f t="shared" si="1"/>
        <v>500</v>
      </c>
      <c r="T150" s="30"/>
      <c r="U150" s="30"/>
      <c r="V150" s="30"/>
      <c r="W150" s="30"/>
      <c r="X150" s="30"/>
      <c r="Y150" s="30"/>
      <c r="Z150" s="28">
        <v>500.0</v>
      </c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1"/>
      <c r="AT150" s="38" t="s">
        <v>1098</v>
      </c>
      <c r="AU150" s="32">
        <f t="shared" si="2"/>
        <v>0.4660266667</v>
      </c>
      <c r="AV150" s="33">
        <f t="shared" si="3"/>
        <v>0.6058346667</v>
      </c>
      <c r="AW150" s="34"/>
      <c r="AX150" s="32">
        <f>252/500</f>
        <v>0.504</v>
      </c>
      <c r="AY150" s="39" t="s">
        <v>1099</v>
      </c>
      <c r="AZ150" s="34"/>
      <c r="BA150" s="30"/>
      <c r="BB150" s="40">
        <v>45364.0</v>
      </c>
      <c r="BC150" s="35"/>
      <c r="BD150" s="32">
        <f>218.21 /500</f>
        <v>0.43642</v>
      </c>
      <c r="BE150" s="39" t="s">
        <v>1100</v>
      </c>
      <c r="BF150" s="31"/>
      <c r="BG150" s="30"/>
      <c r="BH150" s="30"/>
      <c r="BI150" s="31"/>
      <c r="BJ150" s="32">
        <f>228.83/500</f>
        <v>0.45766</v>
      </c>
      <c r="BK150" s="39" t="s">
        <v>1101</v>
      </c>
      <c r="BL150" s="30"/>
      <c r="BM150" s="30"/>
    </row>
    <row r="151">
      <c r="A151" s="18" t="s">
        <v>41</v>
      </c>
      <c r="B151" s="18" t="s">
        <v>1102</v>
      </c>
      <c r="C151" s="19" t="s">
        <v>1103</v>
      </c>
      <c r="D151" s="19" t="s">
        <v>67</v>
      </c>
      <c r="E151" s="19" t="s">
        <v>68</v>
      </c>
      <c r="F151" s="20">
        <v>500.0</v>
      </c>
      <c r="G151" s="21">
        <v>500.0</v>
      </c>
      <c r="H151" s="21">
        <v>0.08</v>
      </c>
      <c r="I151" s="21">
        <v>40.0</v>
      </c>
      <c r="J151" s="36" t="s">
        <v>1104</v>
      </c>
      <c r="K151" s="23">
        <v>92.14</v>
      </c>
      <c r="L151" s="24">
        <v>150.0</v>
      </c>
      <c r="M151" s="25" t="s">
        <v>69</v>
      </c>
      <c r="N151" s="25" t="s">
        <v>70</v>
      </c>
      <c r="O151" s="25">
        <v>2.1000000144E10</v>
      </c>
      <c r="P151" s="26" t="s">
        <v>1105</v>
      </c>
      <c r="Q151" s="27" t="s">
        <v>1106</v>
      </c>
      <c r="R151" s="28" t="s">
        <v>849</v>
      </c>
      <c r="S151" s="29">
        <f t="shared" si="1"/>
        <v>4</v>
      </c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8">
        <v>3.0</v>
      </c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28">
        <v>1.0</v>
      </c>
      <c r="AQ151" s="30"/>
      <c r="AR151" s="30"/>
      <c r="AS151" s="31"/>
      <c r="AT151" s="38" t="s">
        <v>678</v>
      </c>
      <c r="AU151" s="32">
        <f t="shared" si="2"/>
        <v>79.74</v>
      </c>
      <c r="AV151" s="33">
        <f t="shared" si="3"/>
        <v>103.662</v>
      </c>
      <c r="AW151" s="34"/>
      <c r="AX151" s="32">
        <f>39.87*2</f>
        <v>79.74</v>
      </c>
      <c r="AY151" s="46" t="s">
        <v>1107</v>
      </c>
      <c r="AZ151" s="34"/>
      <c r="BA151" s="30"/>
      <c r="BB151" s="40">
        <v>45364.0</v>
      </c>
      <c r="BC151" s="35"/>
      <c r="BD151" s="32"/>
      <c r="BE151" s="31"/>
      <c r="BF151" s="31"/>
      <c r="BG151" s="30"/>
      <c r="BH151" s="30"/>
      <c r="BI151" s="31"/>
      <c r="BJ151" s="32"/>
      <c r="BK151" s="31"/>
      <c r="BL151" s="30"/>
      <c r="BM151" s="30"/>
    </row>
    <row r="152">
      <c r="A152" s="18" t="s">
        <v>36</v>
      </c>
      <c r="B152" s="18" t="s">
        <v>1108</v>
      </c>
      <c r="C152" s="19" t="s">
        <v>1109</v>
      </c>
      <c r="D152" s="19" t="s">
        <v>67</v>
      </c>
      <c r="E152" s="19" t="s">
        <v>68</v>
      </c>
      <c r="F152" s="20">
        <v>2.0</v>
      </c>
      <c r="G152" s="21">
        <v>2.0</v>
      </c>
      <c r="H152" s="21">
        <v>187.0</v>
      </c>
      <c r="I152" s="21">
        <v>374.0</v>
      </c>
      <c r="J152" s="36" t="s">
        <v>1110</v>
      </c>
      <c r="K152" s="78">
        <v>437.63</v>
      </c>
      <c r="L152" s="24">
        <v>151.0</v>
      </c>
      <c r="M152" s="25" t="s">
        <v>69</v>
      </c>
      <c r="N152" s="25" t="s">
        <v>70</v>
      </c>
      <c r="O152" s="25">
        <v>2.1000000671E10</v>
      </c>
      <c r="P152" s="26" t="s">
        <v>1111</v>
      </c>
      <c r="Q152" s="27" t="s">
        <v>1112</v>
      </c>
      <c r="R152" s="28" t="s">
        <v>1113</v>
      </c>
      <c r="S152" s="29">
        <f t="shared" si="1"/>
        <v>2</v>
      </c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29">
        <v>2.0</v>
      </c>
      <c r="AL152" s="30"/>
      <c r="AM152" s="30"/>
      <c r="AN152" s="30"/>
      <c r="AO152" s="30"/>
      <c r="AP152" s="30"/>
      <c r="AQ152" s="30"/>
      <c r="AR152" s="30"/>
      <c r="AS152" s="31"/>
      <c r="AT152" s="38" t="s">
        <v>678</v>
      </c>
      <c r="AU152" s="32">
        <f t="shared" si="2"/>
        <v>666.7</v>
      </c>
      <c r="AV152" s="33">
        <f t="shared" si="3"/>
        <v>866.71</v>
      </c>
      <c r="AW152" s="34"/>
      <c r="AX152" s="42">
        <v>666.7</v>
      </c>
      <c r="AY152" s="46" t="s">
        <v>1114</v>
      </c>
      <c r="AZ152" s="34"/>
      <c r="BA152" s="30"/>
      <c r="BB152" s="40">
        <v>45364.0</v>
      </c>
      <c r="BC152" s="35"/>
      <c r="BD152" s="32"/>
      <c r="BE152" s="31"/>
      <c r="BF152" s="31"/>
      <c r="BG152" s="30"/>
      <c r="BH152" s="30"/>
      <c r="BI152" s="31"/>
      <c r="BJ152" s="32"/>
      <c r="BK152" s="31"/>
      <c r="BL152" s="30"/>
      <c r="BM152" s="30"/>
    </row>
    <row r="153">
      <c r="A153" s="18" t="s">
        <v>25</v>
      </c>
      <c r="B153" s="18" t="s">
        <v>1115</v>
      </c>
      <c r="C153" s="19" t="s">
        <v>1116</v>
      </c>
      <c r="D153" s="19" t="s">
        <v>67</v>
      </c>
      <c r="E153" s="19" t="s">
        <v>68</v>
      </c>
      <c r="F153" s="20">
        <v>1.0</v>
      </c>
      <c r="G153" s="21">
        <v>1.0</v>
      </c>
      <c r="H153" s="21">
        <v>600.0</v>
      </c>
      <c r="I153" s="21">
        <v>600.0</v>
      </c>
      <c r="J153" s="45"/>
      <c r="K153" s="23">
        <v>11.39</v>
      </c>
      <c r="L153" s="24">
        <v>152.0</v>
      </c>
      <c r="M153" s="25" t="s">
        <v>69</v>
      </c>
      <c r="N153" s="25" t="s">
        <v>70</v>
      </c>
      <c r="O153" s="25">
        <v>2.1000000573E10</v>
      </c>
      <c r="P153" s="26" t="s">
        <v>1117</v>
      </c>
      <c r="Q153" s="27" t="s">
        <v>1118</v>
      </c>
      <c r="R153" s="28" t="s">
        <v>79</v>
      </c>
      <c r="S153" s="29">
        <f t="shared" si="1"/>
        <v>525</v>
      </c>
      <c r="T153" s="30"/>
      <c r="U153" s="30"/>
      <c r="V153" s="30"/>
      <c r="W153" s="30"/>
      <c r="X153" s="30"/>
      <c r="Y153" s="30"/>
      <c r="Z153" s="28">
        <v>25.0</v>
      </c>
      <c r="AA153" s="30"/>
      <c r="AB153" s="30"/>
      <c r="AC153" s="30"/>
      <c r="AD153" s="30"/>
      <c r="AE153" s="30"/>
      <c r="AF153" s="30"/>
      <c r="AG153" s="38">
        <v>500.0</v>
      </c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1"/>
      <c r="AT153" s="38" t="s">
        <v>678</v>
      </c>
      <c r="AU153" s="32">
        <f t="shared" si="2"/>
        <v>8.9094</v>
      </c>
      <c r="AV153" s="33">
        <f t="shared" si="3"/>
        <v>11.58222</v>
      </c>
      <c r="AW153" s="34"/>
      <c r="AX153" s="32">
        <f>283.72/25</f>
        <v>11.3488</v>
      </c>
      <c r="AY153" s="46" t="s">
        <v>1119</v>
      </c>
      <c r="AZ153" s="34"/>
      <c r="BA153" s="30"/>
      <c r="BB153" s="40">
        <v>45364.0</v>
      </c>
      <c r="BC153" s="35"/>
      <c r="BD153" s="32">
        <f>647/100</f>
        <v>6.47</v>
      </c>
      <c r="BE153" s="46" t="s">
        <v>1120</v>
      </c>
      <c r="BF153" s="49"/>
      <c r="BG153" s="30"/>
      <c r="BH153" s="30"/>
      <c r="BI153" s="31"/>
      <c r="BJ153" s="32"/>
      <c r="BK153" s="49"/>
      <c r="BL153" s="30"/>
      <c r="BM153" s="30"/>
    </row>
    <row r="154">
      <c r="A154" s="18" t="s">
        <v>20</v>
      </c>
      <c r="B154" s="18" t="s">
        <v>1121</v>
      </c>
      <c r="C154" s="19" t="s">
        <v>1122</v>
      </c>
      <c r="D154" s="19" t="s">
        <v>67</v>
      </c>
      <c r="E154" s="19" t="s">
        <v>68</v>
      </c>
      <c r="F154" s="20">
        <v>1.0</v>
      </c>
      <c r="G154" s="21">
        <v>1.0</v>
      </c>
      <c r="H154" s="21">
        <v>75.0</v>
      </c>
      <c r="I154" s="21">
        <v>75.0</v>
      </c>
      <c r="J154" s="45"/>
      <c r="K154" s="23">
        <v>0.14</v>
      </c>
      <c r="L154" s="24">
        <v>153.0</v>
      </c>
      <c r="M154" s="25" t="s">
        <v>69</v>
      </c>
      <c r="N154" s="25" t="s">
        <v>70</v>
      </c>
      <c r="O154" s="25">
        <v>2.100000002E10</v>
      </c>
      <c r="P154" s="26" t="s">
        <v>1123</v>
      </c>
      <c r="Q154" s="27" t="s">
        <v>1124</v>
      </c>
      <c r="R154" s="28" t="s">
        <v>79</v>
      </c>
      <c r="S154" s="29">
        <f t="shared" si="1"/>
        <v>19000</v>
      </c>
      <c r="T154" s="30"/>
      <c r="U154" s="28">
        <v>500.0</v>
      </c>
      <c r="V154" s="30"/>
      <c r="W154" s="30"/>
      <c r="X154" s="30"/>
      <c r="Y154" s="30"/>
      <c r="Z154" s="38">
        <v>1500.0</v>
      </c>
      <c r="AA154" s="30"/>
      <c r="AB154" s="30"/>
      <c r="AC154" s="38">
        <v>500.0</v>
      </c>
      <c r="AD154" s="30"/>
      <c r="AE154" s="30"/>
      <c r="AF154" s="30"/>
      <c r="AG154" s="30"/>
      <c r="AH154" s="30"/>
      <c r="AI154" s="30"/>
      <c r="AJ154" s="30"/>
      <c r="AK154" s="38">
        <v>1000.0</v>
      </c>
      <c r="AL154" s="30"/>
      <c r="AM154" s="30"/>
      <c r="AN154" s="30"/>
      <c r="AO154" s="30"/>
      <c r="AP154" s="30"/>
      <c r="AQ154" s="38">
        <v>500.0</v>
      </c>
      <c r="AR154" s="30">
        <f>7500+7500</f>
        <v>15000</v>
      </c>
      <c r="AS154" s="31"/>
      <c r="AT154" s="38" t="s">
        <v>678</v>
      </c>
      <c r="AU154" s="32">
        <f t="shared" si="2"/>
        <v>0.1329733333</v>
      </c>
      <c r="AV154" s="33">
        <f t="shared" si="3"/>
        <v>0.1728653333</v>
      </c>
      <c r="AW154" s="34"/>
      <c r="AX154" s="32">
        <f>60.78/500</f>
        <v>0.12156</v>
      </c>
      <c r="AY154" s="46" t="s">
        <v>1125</v>
      </c>
      <c r="AZ154" s="34"/>
      <c r="BA154" s="30"/>
      <c r="BB154" s="40">
        <v>45364.0</v>
      </c>
      <c r="BC154" s="35"/>
      <c r="BD154" s="32">
        <f>77.9/500</f>
        <v>0.1558</v>
      </c>
      <c r="BE154" s="46" t="s">
        <v>1126</v>
      </c>
      <c r="BF154" s="31"/>
      <c r="BG154" s="30"/>
      <c r="BH154" s="30"/>
      <c r="BI154" s="31"/>
      <c r="BJ154" s="32">
        <f>60.78/500</f>
        <v>0.12156</v>
      </c>
      <c r="BK154" s="46" t="s">
        <v>1127</v>
      </c>
      <c r="BL154" s="30"/>
      <c r="BM154" s="30"/>
    </row>
    <row r="155">
      <c r="A155" s="18" t="s">
        <v>25</v>
      </c>
      <c r="B155" s="18" t="s">
        <v>1128</v>
      </c>
      <c r="C155" s="19" t="s">
        <v>1129</v>
      </c>
      <c r="D155" s="19" t="s">
        <v>67</v>
      </c>
      <c r="E155" s="19" t="s">
        <v>68</v>
      </c>
      <c r="F155" s="20">
        <v>500.0</v>
      </c>
      <c r="G155" s="21">
        <v>1.0</v>
      </c>
      <c r="H155" s="21">
        <v>30.0</v>
      </c>
      <c r="I155" s="21">
        <v>30.0</v>
      </c>
      <c r="J155" s="45"/>
      <c r="K155" s="23">
        <v>0.04</v>
      </c>
      <c r="L155" s="24">
        <v>154.0</v>
      </c>
      <c r="M155" s="25" t="s">
        <v>69</v>
      </c>
      <c r="N155" s="25" t="s">
        <v>70</v>
      </c>
      <c r="O155" s="25">
        <v>2.1000000148E10</v>
      </c>
      <c r="P155" s="26" t="s">
        <v>1130</v>
      </c>
      <c r="Q155" s="27" t="s">
        <v>1131</v>
      </c>
      <c r="R155" s="28" t="s">
        <v>79</v>
      </c>
      <c r="S155" s="29">
        <f t="shared" si="1"/>
        <v>500</v>
      </c>
      <c r="T155" s="30"/>
      <c r="U155" s="30"/>
      <c r="V155" s="30"/>
      <c r="W155" s="30"/>
      <c r="X155" s="30"/>
      <c r="Y155" s="30"/>
      <c r="Z155" s="28">
        <v>500.0</v>
      </c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1"/>
      <c r="AT155" s="38" t="s">
        <v>678</v>
      </c>
      <c r="AU155" s="32">
        <f t="shared" si="2"/>
        <v>0.03727333333</v>
      </c>
      <c r="AV155" s="33">
        <f t="shared" si="3"/>
        <v>0.04845533333</v>
      </c>
      <c r="AW155" s="34"/>
      <c r="AX155" s="32">
        <f>20/500</f>
        <v>0.04</v>
      </c>
      <c r="AY155" s="46" t="s">
        <v>1132</v>
      </c>
      <c r="AZ155" s="34"/>
      <c r="BA155" s="30"/>
      <c r="BB155" s="40">
        <v>45364.0</v>
      </c>
      <c r="BC155" s="35"/>
      <c r="BD155" s="42">
        <f>18.07/500</f>
        <v>0.03614</v>
      </c>
      <c r="BE155" s="46" t="s">
        <v>1133</v>
      </c>
      <c r="BF155" s="31"/>
      <c r="BG155" s="30"/>
      <c r="BH155" s="30"/>
      <c r="BI155" s="31"/>
      <c r="BJ155" s="32">
        <f>17.84/500</f>
        <v>0.03568</v>
      </c>
      <c r="BK155" s="46" t="s">
        <v>1134</v>
      </c>
      <c r="BL155" s="30"/>
      <c r="BM155" s="30"/>
    </row>
    <row r="156">
      <c r="A156" s="18" t="s">
        <v>36</v>
      </c>
      <c r="B156" s="18" t="s">
        <v>1135</v>
      </c>
      <c r="C156" s="19" t="s">
        <v>1136</v>
      </c>
      <c r="D156" s="19" t="s">
        <v>67</v>
      </c>
      <c r="E156" s="19" t="s">
        <v>68</v>
      </c>
      <c r="F156" s="20">
        <v>1.0</v>
      </c>
      <c r="G156" s="21">
        <v>1.0</v>
      </c>
      <c r="H156" s="21">
        <v>399.0</v>
      </c>
      <c r="I156" s="21">
        <v>399.0</v>
      </c>
      <c r="J156" s="36" t="s">
        <v>1137</v>
      </c>
      <c r="K156" s="78">
        <v>698.33</v>
      </c>
      <c r="L156" s="24">
        <v>155.0</v>
      </c>
      <c r="M156" s="25" t="s">
        <v>69</v>
      </c>
      <c r="N156" s="25" t="s">
        <v>70</v>
      </c>
      <c r="O156" s="25">
        <v>2.1000000669E10</v>
      </c>
      <c r="P156" s="26" t="s">
        <v>1138</v>
      </c>
      <c r="Q156" s="27" t="s">
        <v>1139</v>
      </c>
      <c r="R156" s="28" t="s">
        <v>1113</v>
      </c>
      <c r="S156" s="29">
        <f t="shared" si="1"/>
        <v>4</v>
      </c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8">
        <v>3.0</v>
      </c>
      <c r="AH156" s="30"/>
      <c r="AI156" s="30"/>
      <c r="AJ156" s="30"/>
      <c r="AK156" s="29">
        <v>1.0</v>
      </c>
      <c r="AL156" s="30"/>
      <c r="AM156" s="30"/>
      <c r="AN156" s="30"/>
      <c r="AO156" s="30"/>
      <c r="AP156" s="30"/>
      <c r="AQ156" s="30"/>
      <c r="AR156" s="30"/>
      <c r="AS156" s="31"/>
      <c r="AT156" s="38"/>
      <c r="AU156" s="32" t="str">
        <f t="shared" si="2"/>
        <v>#DIV/0!</v>
      </c>
      <c r="AV156" s="33" t="str">
        <f t="shared" si="3"/>
        <v>#DIV/0!</v>
      </c>
      <c r="AW156" s="34"/>
      <c r="AX156" s="32"/>
      <c r="AY156" s="31"/>
      <c r="AZ156" s="34"/>
      <c r="BA156" s="30"/>
      <c r="BB156" s="30"/>
      <c r="BC156" s="35"/>
      <c r="BD156" s="32"/>
      <c r="BE156" s="31"/>
      <c r="BF156" s="31"/>
      <c r="BG156" s="30"/>
      <c r="BH156" s="30"/>
      <c r="BI156" s="31"/>
      <c r="BJ156" s="32"/>
      <c r="BK156" s="31"/>
      <c r="BL156" s="30"/>
      <c r="BM156" s="30"/>
    </row>
    <row r="157">
      <c r="A157" s="18" t="s">
        <v>40</v>
      </c>
      <c r="B157" s="18" t="s">
        <v>1140</v>
      </c>
      <c r="C157" s="19" t="s">
        <v>1141</v>
      </c>
      <c r="D157" s="19" t="s">
        <v>67</v>
      </c>
      <c r="E157" s="19" t="s">
        <v>68</v>
      </c>
      <c r="F157" s="20">
        <v>2.0</v>
      </c>
      <c r="G157" s="21">
        <v>2.0</v>
      </c>
      <c r="H157" s="21">
        <v>65.97</v>
      </c>
      <c r="I157" s="21">
        <v>131.94</v>
      </c>
      <c r="J157" s="45"/>
      <c r="K157" s="23">
        <v>49.35</v>
      </c>
      <c r="L157" s="24">
        <v>156.0</v>
      </c>
      <c r="M157" s="25" t="s">
        <v>69</v>
      </c>
      <c r="N157" s="25" t="s">
        <v>70</v>
      </c>
      <c r="O157" s="25">
        <v>2.1000000481E10</v>
      </c>
      <c r="P157" s="26" t="s">
        <v>1142</v>
      </c>
      <c r="Q157" s="27" t="s">
        <v>1143</v>
      </c>
      <c r="R157" s="28" t="s">
        <v>1113</v>
      </c>
      <c r="S157" s="29">
        <f t="shared" si="1"/>
        <v>3</v>
      </c>
      <c r="T157" s="30"/>
      <c r="U157" s="30"/>
      <c r="V157" s="30"/>
      <c r="W157" s="30"/>
      <c r="X157" s="30"/>
      <c r="Y157" s="30"/>
      <c r="Z157" s="30"/>
      <c r="AA157" s="30"/>
      <c r="AB157" s="30"/>
      <c r="AC157" s="38">
        <v>1.0</v>
      </c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29">
        <v>2.0</v>
      </c>
      <c r="AP157" s="30"/>
      <c r="AQ157" s="30"/>
      <c r="AR157" s="30"/>
      <c r="AS157" s="31"/>
      <c r="AT157" s="38" t="s">
        <v>678</v>
      </c>
      <c r="AU157" s="32">
        <f t="shared" si="2"/>
        <v>43.53</v>
      </c>
      <c r="AV157" s="33">
        <f t="shared" si="3"/>
        <v>56.589</v>
      </c>
      <c r="AW157" s="34"/>
      <c r="AX157" s="42">
        <v>33.78</v>
      </c>
      <c r="AY157" s="46" t="s">
        <v>1144</v>
      </c>
      <c r="AZ157" s="34"/>
      <c r="BA157" s="30"/>
      <c r="BB157" s="40">
        <v>45364.0</v>
      </c>
      <c r="BC157" s="35"/>
      <c r="BD157" s="42">
        <v>53.28</v>
      </c>
      <c r="BE157" s="46" t="s">
        <v>1145</v>
      </c>
      <c r="BF157" s="31"/>
      <c r="BG157" s="30"/>
      <c r="BH157" s="30"/>
      <c r="BI157" s="31"/>
      <c r="BJ157" s="42"/>
      <c r="BK157" s="49"/>
      <c r="BL157" s="30"/>
      <c r="BM157" s="30"/>
    </row>
    <row r="158">
      <c r="A158" s="18" t="s">
        <v>41</v>
      </c>
      <c r="B158" s="18" t="s">
        <v>1146</v>
      </c>
      <c r="C158" s="19" t="s">
        <v>1147</v>
      </c>
      <c r="D158" s="19" t="s">
        <v>67</v>
      </c>
      <c r="E158" s="19" t="s">
        <v>68</v>
      </c>
      <c r="F158" s="20">
        <v>200.0</v>
      </c>
      <c r="G158" s="21">
        <v>200.0</v>
      </c>
      <c r="H158" s="21">
        <v>0.65</v>
      </c>
      <c r="I158" s="21">
        <v>130.0</v>
      </c>
      <c r="J158" s="45"/>
      <c r="K158" s="23">
        <v>1.26</v>
      </c>
      <c r="L158" s="24">
        <v>157.0</v>
      </c>
      <c r="M158" s="25" t="s">
        <v>69</v>
      </c>
      <c r="N158" s="25" t="s">
        <v>70</v>
      </c>
      <c r="O158" s="25">
        <v>2.1000000651E10</v>
      </c>
      <c r="P158" s="26" t="s">
        <v>1148</v>
      </c>
      <c r="Q158" s="27" t="s">
        <v>1149</v>
      </c>
      <c r="R158" s="28" t="s">
        <v>834</v>
      </c>
      <c r="S158" s="29">
        <f t="shared" si="1"/>
        <v>200</v>
      </c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29">
        <v>200.0</v>
      </c>
      <c r="AQ158" s="30"/>
      <c r="AR158" s="30"/>
      <c r="AS158" s="31"/>
      <c r="AT158" s="38" t="s">
        <v>678</v>
      </c>
      <c r="AU158" s="32">
        <f t="shared" si="2"/>
        <v>1.43025</v>
      </c>
      <c r="AV158" s="33">
        <f t="shared" si="3"/>
        <v>1.859325</v>
      </c>
      <c r="AW158" s="34"/>
      <c r="AX158" s="32">
        <f>88.84/100</f>
        <v>0.8884</v>
      </c>
      <c r="AY158" s="46" t="s">
        <v>1150</v>
      </c>
      <c r="AZ158" s="34"/>
      <c r="BA158" s="30"/>
      <c r="BB158" s="40">
        <v>45364.0</v>
      </c>
      <c r="BC158" s="35"/>
      <c r="BD158" s="32">
        <f>197.21/100</f>
        <v>1.9721</v>
      </c>
      <c r="BE158" s="46" t="s">
        <v>1151</v>
      </c>
      <c r="BF158" s="31"/>
      <c r="BG158" s="30"/>
      <c r="BH158" s="30"/>
      <c r="BI158" s="31"/>
      <c r="BJ158" s="32"/>
      <c r="BK158" s="31"/>
      <c r="BL158" s="30"/>
      <c r="BM158" s="30"/>
    </row>
    <row r="159">
      <c r="A159" s="18" t="s">
        <v>43</v>
      </c>
      <c r="B159" s="18" t="s">
        <v>1152</v>
      </c>
      <c r="C159" s="19" t="s">
        <v>1153</v>
      </c>
      <c r="D159" s="19" t="s">
        <v>67</v>
      </c>
      <c r="E159" s="19" t="s">
        <v>68</v>
      </c>
      <c r="F159" s="20">
        <v>20.0</v>
      </c>
      <c r="G159" s="21">
        <v>20.0</v>
      </c>
      <c r="H159" s="21">
        <v>94.0</v>
      </c>
      <c r="I159" s="21">
        <v>1880.0</v>
      </c>
      <c r="J159" s="45"/>
      <c r="K159" s="23">
        <v>139.41</v>
      </c>
      <c r="L159" s="24">
        <v>158.0</v>
      </c>
      <c r="M159" s="25" t="s">
        <v>69</v>
      </c>
      <c r="N159" s="25" t="s">
        <v>70</v>
      </c>
      <c r="O159" s="25">
        <v>2.1000000158E10</v>
      </c>
      <c r="P159" s="26" t="s">
        <v>1154</v>
      </c>
      <c r="Q159" s="27" t="s">
        <v>1155</v>
      </c>
      <c r="R159" s="28" t="s">
        <v>904</v>
      </c>
      <c r="S159" s="29">
        <f t="shared" si="1"/>
        <v>47</v>
      </c>
      <c r="T159" s="30"/>
      <c r="U159" s="30"/>
      <c r="V159" s="38">
        <v>1.0</v>
      </c>
      <c r="W159" s="30"/>
      <c r="X159" s="30"/>
      <c r="Y159" s="30"/>
      <c r="Z159" s="38">
        <v>6.0</v>
      </c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29">
        <f>20+20</f>
        <v>40</v>
      </c>
      <c r="AS159" s="31"/>
      <c r="AT159" s="38" t="s">
        <v>678</v>
      </c>
      <c r="AU159" s="32">
        <f t="shared" si="2"/>
        <v>109.7866667</v>
      </c>
      <c r="AV159" s="33">
        <f t="shared" si="3"/>
        <v>142.7226667</v>
      </c>
      <c r="AW159" s="34"/>
      <c r="AX159" s="42">
        <v>101.63</v>
      </c>
      <c r="AY159" s="46" t="s">
        <v>1156</v>
      </c>
      <c r="AZ159" s="34"/>
      <c r="BA159" s="30"/>
      <c r="BB159" s="40">
        <v>45364.0</v>
      </c>
      <c r="BC159" s="35"/>
      <c r="BD159" s="42">
        <v>82.84</v>
      </c>
      <c r="BE159" s="46" t="s">
        <v>1157</v>
      </c>
      <c r="BF159" s="31"/>
      <c r="BG159" s="30"/>
      <c r="BH159" s="30"/>
      <c r="BI159" s="31"/>
      <c r="BJ159" s="42">
        <v>144.89</v>
      </c>
      <c r="BK159" s="46" t="s">
        <v>1158</v>
      </c>
      <c r="BL159" s="30"/>
      <c r="BM159" s="30"/>
    </row>
    <row r="160">
      <c r="A160" s="18" t="s">
        <v>25</v>
      </c>
      <c r="B160" s="18" t="s">
        <v>1159</v>
      </c>
      <c r="C160" s="19" t="s">
        <v>1160</v>
      </c>
      <c r="D160" s="19" t="s">
        <v>67</v>
      </c>
      <c r="E160" s="19" t="s">
        <v>68</v>
      </c>
      <c r="F160" s="20">
        <v>1.0</v>
      </c>
      <c r="G160" s="21">
        <v>1.0</v>
      </c>
      <c r="H160" s="21">
        <v>71.0</v>
      </c>
      <c r="I160" s="21">
        <v>71.0</v>
      </c>
      <c r="J160" s="45"/>
      <c r="K160" s="23">
        <v>250.35</v>
      </c>
      <c r="L160" s="24">
        <v>159.0</v>
      </c>
      <c r="M160" s="25" t="s">
        <v>69</v>
      </c>
      <c r="N160" s="25" t="s">
        <v>70</v>
      </c>
      <c r="O160" s="25">
        <v>2.100000016E10</v>
      </c>
      <c r="P160" s="26" t="s">
        <v>1161</v>
      </c>
      <c r="Q160" s="27" t="s">
        <v>1162</v>
      </c>
      <c r="R160" s="28" t="s">
        <v>904</v>
      </c>
      <c r="S160" s="29">
        <f t="shared" si="1"/>
        <v>11</v>
      </c>
      <c r="T160" s="30"/>
      <c r="U160" s="30"/>
      <c r="V160" s="30"/>
      <c r="W160" s="30"/>
      <c r="X160" s="30"/>
      <c r="Y160" s="30"/>
      <c r="Z160" s="29">
        <v>1.0</v>
      </c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8">
        <v>9.0</v>
      </c>
      <c r="AM160" s="30"/>
      <c r="AN160" s="30"/>
      <c r="AO160" s="38">
        <v>1.0</v>
      </c>
      <c r="AP160" s="30"/>
      <c r="AQ160" s="30"/>
      <c r="AR160" s="30"/>
      <c r="AS160" s="31"/>
      <c r="AT160" s="38" t="s">
        <v>678</v>
      </c>
      <c r="AU160" s="32">
        <f t="shared" si="2"/>
        <v>245.645</v>
      </c>
      <c r="AV160" s="33">
        <f t="shared" si="3"/>
        <v>319.3385</v>
      </c>
      <c r="AW160" s="34"/>
      <c r="AX160" s="42">
        <v>282.48</v>
      </c>
      <c r="AY160" s="46" t="s">
        <v>1163</v>
      </c>
      <c r="AZ160" s="34"/>
      <c r="BA160" s="30"/>
      <c r="BB160" s="40">
        <v>45364.0</v>
      </c>
      <c r="BC160" s="35"/>
      <c r="BD160" s="42">
        <v>208.81</v>
      </c>
      <c r="BE160" s="46" t="s">
        <v>1164</v>
      </c>
      <c r="BF160" s="31"/>
      <c r="BG160" s="30"/>
      <c r="BH160" s="30"/>
      <c r="BI160" s="31"/>
      <c r="BJ160" s="32"/>
      <c r="BK160" s="31"/>
      <c r="BL160" s="30"/>
      <c r="BM160" s="30"/>
    </row>
    <row r="161">
      <c r="A161" s="18" t="s">
        <v>25</v>
      </c>
      <c r="B161" s="18" t="s">
        <v>1165</v>
      </c>
      <c r="C161" s="19" t="s">
        <v>1166</v>
      </c>
      <c r="D161" s="19" t="s">
        <v>67</v>
      </c>
      <c r="E161" s="19" t="s">
        <v>68</v>
      </c>
      <c r="F161" s="20">
        <v>1.0</v>
      </c>
      <c r="G161" s="21">
        <v>1.0</v>
      </c>
      <c r="H161" s="21">
        <v>117.0</v>
      </c>
      <c r="I161" s="21">
        <v>117.0</v>
      </c>
      <c r="J161" s="45"/>
      <c r="K161" s="23">
        <v>977.2</v>
      </c>
      <c r="L161" s="24">
        <v>160.0</v>
      </c>
      <c r="M161" s="25" t="s">
        <v>69</v>
      </c>
      <c r="N161" s="25" t="s">
        <v>70</v>
      </c>
      <c r="O161" s="25">
        <v>2.100000047E10</v>
      </c>
      <c r="P161" s="26" t="s">
        <v>1167</v>
      </c>
      <c r="Q161" s="27" t="s">
        <v>1168</v>
      </c>
      <c r="R161" s="28" t="s">
        <v>904</v>
      </c>
      <c r="S161" s="29">
        <f t="shared" si="1"/>
        <v>2</v>
      </c>
      <c r="T161" s="30"/>
      <c r="U161" s="30"/>
      <c r="V161" s="30"/>
      <c r="W161" s="30"/>
      <c r="X161" s="30"/>
      <c r="Y161" s="30"/>
      <c r="Z161" s="29">
        <v>1.0</v>
      </c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8">
        <v>1.0</v>
      </c>
      <c r="AR161" s="30"/>
      <c r="AS161" s="31"/>
      <c r="AT161" s="38" t="s">
        <v>678</v>
      </c>
      <c r="AU161" s="32">
        <f t="shared" si="2"/>
        <v>111.2566667</v>
      </c>
      <c r="AV161" s="33">
        <f t="shared" si="3"/>
        <v>144.6336667</v>
      </c>
      <c r="AW161" s="34"/>
      <c r="AX161" s="42">
        <v>84.03</v>
      </c>
      <c r="AY161" s="39" t="s">
        <v>1169</v>
      </c>
      <c r="AZ161" s="34"/>
      <c r="BA161" s="30"/>
      <c r="BB161" s="40">
        <v>45364.0</v>
      </c>
      <c r="BC161" s="35"/>
      <c r="BD161" s="42">
        <v>124.87</v>
      </c>
      <c r="BE161" s="46" t="s">
        <v>1170</v>
      </c>
      <c r="BF161" s="31"/>
      <c r="BG161" s="30"/>
      <c r="BH161" s="30"/>
      <c r="BI161" s="31"/>
      <c r="BJ161" s="42">
        <v>124.87</v>
      </c>
      <c r="BK161" s="46" t="s">
        <v>1171</v>
      </c>
      <c r="BL161" s="30"/>
      <c r="BM161" s="30"/>
    </row>
    <row r="162">
      <c r="A162" s="18" t="s">
        <v>25</v>
      </c>
      <c r="B162" s="18" t="s">
        <v>1172</v>
      </c>
      <c r="C162" s="19" t="s">
        <v>1173</v>
      </c>
      <c r="D162" s="19" t="s">
        <v>67</v>
      </c>
      <c r="E162" s="19" t="s">
        <v>68</v>
      </c>
      <c r="F162" s="20">
        <v>1.0</v>
      </c>
      <c r="G162" s="21">
        <v>1.0</v>
      </c>
      <c r="H162" s="21">
        <v>29.0</v>
      </c>
      <c r="I162" s="21">
        <v>29.0</v>
      </c>
      <c r="J162" s="45"/>
      <c r="K162" s="23">
        <v>80.45</v>
      </c>
      <c r="L162" s="24">
        <v>161.0</v>
      </c>
      <c r="M162" s="25" t="s">
        <v>69</v>
      </c>
      <c r="N162" s="25" t="s">
        <v>70</v>
      </c>
      <c r="O162" s="25">
        <v>2.1000000162E10</v>
      </c>
      <c r="P162" s="26" t="s">
        <v>1174</v>
      </c>
      <c r="Q162" s="27" t="s">
        <v>1175</v>
      </c>
      <c r="R162" s="28" t="s">
        <v>904</v>
      </c>
      <c r="S162" s="29">
        <f t="shared" si="1"/>
        <v>1</v>
      </c>
      <c r="T162" s="30"/>
      <c r="U162" s="30"/>
      <c r="V162" s="30"/>
      <c r="W162" s="30"/>
      <c r="X162" s="30"/>
      <c r="Y162" s="30"/>
      <c r="Z162" s="29">
        <v>1.0</v>
      </c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1"/>
      <c r="AT162" s="38" t="s">
        <v>678</v>
      </c>
      <c r="AU162" s="32">
        <f t="shared" si="2"/>
        <v>72.86</v>
      </c>
      <c r="AV162" s="33">
        <f t="shared" si="3"/>
        <v>94.718</v>
      </c>
      <c r="AW162" s="34"/>
      <c r="AX162" s="42">
        <v>83.64</v>
      </c>
      <c r="AY162" s="46" t="s">
        <v>1176</v>
      </c>
      <c r="AZ162" s="34"/>
      <c r="BA162" s="30"/>
      <c r="BB162" s="40">
        <v>45364.0</v>
      </c>
      <c r="BC162" s="35"/>
      <c r="BD162" s="42">
        <v>77.2</v>
      </c>
      <c r="BE162" s="46" t="s">
        <v>1177</v>
      </c>
      <c r="BF162" s="31"/>
      <c r="BG162" s="30"/>
      <c r="BH162" s="30"/>
      <c r="BI162" s="31"/>
      <c r="BJ162" s="42">
        <v>57.74</v>
      </c>
      <c r="BK162" s="46" t="s">
        <v>1178</v>
      </c>
      <c r="BL162" s="30"/>
      <c r="BM162" s="30"/>
    </row>
    <row r="163">
      <c r="A163" s="18" t="s">
        <v>21</v>
      </c>
      <c r="B163" s="18" t="s">
        <v>1179</v>
      </c>
      <c r="C163" s="19" t="s">
        <v>1180</v>
      </c>
      <c r="D163" s="19" t="s">
        <v>67</v>
      </c>
      <c r="E163" s="19" t="s">
        <v>68</v>
      </c>
      <c r="F163" s="20">
        <v>2.0</v>
      </c>
      <c r="G163" s="21">
        <v>2.0</v>
      </c>
      <c r="H163" s="21">
        <v>432.0</v>
      </c>
      <c r="I163" s="21">
        <v>864.0</v>
      </c>
      <c r="J163" s="45"/>
      <c r="K163" s="23">
        <v>341.9</v>
      </c>
      <c r="L163" s="24">
        <v>162.0</v>
      </c>
      <c r="M163" s="25" t="s">
        <v>69</v>
      </c>
      <c r="N163" s="25" t="s">
        <v>70</v>
      </c>
      <c r="O163" s="25">
        <v>2.1000000637E10</v>
      </c>
      <c r="P163" s="26" t="s">
        <v>1181</v>
      </c>
      <c r="Q163" s="27" t="s">
        <v>1182</v>
      </c>
      <c r="R163" s="28" t="s">
        <v>1113</v>
      </c>
      <c r="S163" s="29">
        <f t="shared" si="1"/>
        <v>2</v>
      </c>
      <c r="T163" s="30"/>
      <c r="U163" s="30"/>
      <c r="V163" s="29">
        <v>2.0</v>
      </c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1"/>
      <c r="AT163" s="38" t="s">
        <v>678</v>
      </c>
      <c r="AU163" s="32">
        <f t="shared" si="2"/>
        <v>397.0233333</v>
      </c>
      <c r="AV163" s="33">
        <f t="shared" si="3"/>
        <v>516.1303333</v>
      </c>
      <c r="AW163" s="34"/>
      <c r="AX163" s="42">
        <v>466.42</v>
      </c>
      <c r="AY163" s="46" t="s">
        <v>1183</v>
      </c>
      <c r="AZ163" s="34"/>
      <c r="BA163" s="30"/>
      <c r="BB163" s="40">
        <v>45364.0</v>
      </c>
      <c r="BC163" s="35"/>
      <c r="BD163" s="42">
        <v>392.01</v>
      </c>
      <c r="BE163" s="46" t="s">
        <v>1184</v>
      </c>
      <c r="BF163" s="31"/>
      <c r="BG163" s="30"/>
      <c r="BH163" s="30"/>
      <c r="BI163" s="31"/>
      <c r="BJ163" s="42">
        <v>332.64</v>
      </c>
      <c r="BK163" s="46" t="s">
        <v>1185</v>
      </c>
      <c r="BL163" s="30"/>
      <c r="BM163" s="30"/>
    </row>
    <row r="164">
      <c r="A164" s="18" t="s">
        <v>21</v>
      </c>
      <c r="B164" s="18" t="s">
        <v>1186</v>
      </c>
      <c r="C164" s="19" t="s">
        <v>1187</v>
      </c>
      <c r="D164" s="19" t="s">
        <v>67</v>
      </c>
      <c r="E164" s="19" t="s">
        <v>68</v>
      </c>
      <c r="F164" s="20">
        <v>2.0</v>
      </c>
      <c r="G164" s="21">
        <v>2.0</v>
      </c>
      <c r="H164" s="21">
        <v>333.05</v>
      </c>
      <c r="I164" s="21">
        <v>666.1</v>
      </c>
      <c r="J164" s="45"/>
      <c r="K164" s="23">
        <v>245.67</v>
      </c>
      <c r="L164" s="24">
        <v>163.0</v>
      </c>
      <c r="M164" s="25" t="s">
        <v>69</v>
      </c>
      <c r="N164" s="25" t="s">
        <v>70</v>
      </c>
      <c r="O164" s="25">
        <v>2.1000000474E10</v>
      </c>
      <c r="P164" s="26" t="s">
        <v>1188</v>
      </c>
      <c r="Q164" s="27" t="s">
        <v>1189</v>
      </c>
      <c r="R164" s="28" t="s">
        <v>1113</v>
      </c>
      <c r="S164" s="29">
        <f t="shared" si="1"/>
        <v>4</v>
      </c>
      <c r="T164" s="30"/>
      <c r="U164" s="30"/>
      <c r="V164" s="29">
        <v>2.0</v>
      </c>
      <c r="W164" s="30"/>
      <c r="X164" s="38">
        <v>2.0</v>
      </c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1"/>
      <c r="AT164" s="38" t="s">
        <v>678</v>
      </c>
      <c r="AU164" s="32">
        <f t="shared" si="2"/>
        <v>251.9533333</v>
      </c>
      <c r="AV164" s="33">
        <f t="shared" si="3"/>
        <v>327.5393333</v>
      </c>
      <c r="AW164" s="34"/>
      <c r="AX164" s="42">
        <v>271.42</v>
      </c>
      <c r="AY164" s="46" t="s">
        <v>1190</v>
      </c>
      <c r="AZ164" s="34"/>
      <c r="BA164" s="30"/>
      <c r="BB164" s="40">
        <v>45364.0</v>
      </c>
      <c r="BC164" s="35"/>
      <c r="BD164" s="42">
        <v>263.43</v>
      </c>
      <c r="BE164" s="46" t="s">
        <v>1191</v>
      </c>
      <c r="BF164" s="31"/>
      <c r="BG164" s="30"/>
      <c r="BH164" s="30"/>
      <c r="BI164" s="31"/>
      <c r="BJ164" s="42">
        <v>221.01</v>
      </c>
      <c r="BK164" s="46" t="s">
        <v>1192</v>
      </c>
      <c r="BL164" s="30"/>
      <c r="BM164" s="30"/>
    </row>
    <row r="165">
      <c r="A165" s="18" t="s">
        <v>25</v>
      </c>
      <c r="B165" s="18" t="s">
        <v>1193</v>
      </c>
      <c r="C165" s="19" t="s">
        <v>1194</v>
      </c>
      <c r="D165" s="19" t="s">
        <v>67</v>
      </c>
      <c r="E165" s="19" t="s">
        <v>68</v>
      </c>
      <c r="F165" s="20">
        <v>2000.0</v>
      </c>
      <c r="G165" s="21">
        <v>4.0</v>
      </c>
      <c r="H165" s="21">
        <v>217.0</v>
      </c>
      <c r="I165" s="21">
        <v>868.0</v>
      </c>
      <c r="J165" s="36" t="s">
        <v>1195</v>
      </c>
      <c r="K165" s="78">
        <v>131.96</v>
      </c>
      <c r="L165" s="24">
        <v>164.0</v>
      </c>
      <c r="M165" s="25" t="s">
        <v>69</v>
      </c>
      <c r="N165" s="25" t="s">
        <v>70</v>
      </c>
      <c r="O165" s="25">
        <v>2.100000067E10</v>
      </c>
      <c r="P165" s="26" t="s">
        <v>1196</v>
      </c>
      <c r="Q165" s="27" t="s">
        <v>1197</v>
      </c>
      <c r="R165" s="28" t="s">
        <v>1113</v>
      </c>
      <c r="S165" s="29">
        <f t="shared" si="1"/>
        <v>6</v>
      </c>
      <c r="T165" s="30"/>
      <c r="U165" s="30"/>
      <c r="V165" s="30"/>
      <c r="W165" s="30"/>
      <c r="X165" s="30"/>
      <c r="Y165" s="30"/>
      <c r="Z165" s="29">
        <f>4+2</f>
        <v>6</v>
      </c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1"/>
      <c r="AT165" s="38"/>
      <c r="AU165" s="32" t="str">
        <f t="shared" si="2"/>
        <v>#DIV/0!</v>
      </c>
      <c r="AV165" s="33" t="str">
        <f t="shared" si="3"/>
        <v>#DIV/0!</v>
      </c>
      <c r="AW165" s="34"/>
      <c r="AX165" s="32"/>
      <c r="AY165" s="31"/>
      <c r="AZ165" s="34"/>
      <c r="BA165" s="30"/>
      <c r="BB165" s="30"/>
      <c r="BC165" s="35"/>
      <c r="BD165" s="32"/>
      <c r="BE165" s="31"/>
      <c r="BF165" s="31"/>
      <c r="BG165" s="30"/>
      <c r="BH165" s="30"/>
      <c r="BI165" s="31"/>
      <c r="BJ165" s="32"/>
      <c r="BK165" s="31"/>
      <c r="BL165" s="30"/>
      <c r="BM165" s="30"/>
    </row>
    <row r="166">
      <c r="A166" s="18" t="s">
        <v>25</v>
      </c>
      <c r="B166" s="18" t="s">
        <v>1198</v>
      </c>
      <c r="C166" s="19" t="s">
        <v>1199</v>
      </c>
      <c r="D166" s="19" t="s">
        <v>67</v>
      </c>
      <c r="E166" s="19" t="s">
        <v>68</v>
      </c>
      <c r="F166" s="20">
        <v>10.0</v>
      </c>
      <c r="G166" s="21">
        <v>10.0</v>
      </c>
      <c r="H166" s="21">
        <v>470.0</v>
      </c>
      <c r="I166" s="21">
        <v>4700.0</v>
      </c>
      <c r="J166" s="45"/>
      <c r="K166" s="23">
        <v>143.72</v>
      </c>
      <c r="L166" s="24">
        <v>165.0</v>
      </c>
      <c r="M166" s="25" t="s">
        <v>69</v>
      </c>
      <c r="N166" s="25" t="s">
        <v>70</v>
      </c>
      <c r="O166" s="25">
        <v>2.1000000473E10</v>
      </c>
      <c r="P166" s="26" t="s">
        <v>1200</v>
      </c>
      <c r="Q166" s="27" t="s">
        <v>1201</v>
      </c>
      <c r="R166" s="28" t="s">
        <v>79</v>
      </c>
      <c r="S166" s="29">
        <f t="shared" si="1"/>
        <v>10</v>
      </c>
      <c r="T166" s="30"/>
      <c r="U166" s="30"/>
      <c r="V166" s="30"/>
      <c r="W166" s="30"/>
      <c r="X166" s="30"/>
      <c r="Y166" s="30"/>
      <c r="Z166" s="29">
        <v>10.0</v>
      </c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1"/>
      <c r="AT166" s="38" t="s">
        <v>81</v>
      </c>
      <c r="AU166" s="32">
        <f t="shared" si="2"/>
        <v>169.804</v>
      </c>
      <c r="AV166" s="33">
        <f t="shared" si="3"/>
        <v>220.7452</v>
      </c>
      <c r="AW166" s="34"/>
      <c r="AX166" s="32">
        <f>849.02/5</f>
        <v>169.804</v>
      </c>
      <c r="AY166" s="39" t="s">
        <v>1202</v>
      </c>
      <c r="AZ166" s="34"/>
      <c r="BA166" s="30"/>
      <c r="BB166" s="30"/>
      <c r="BC166" s="35"/>
      <c r="BD166" s="32"/>
      <c r="BE166" s="31"/>
      <c r="BF166" s="31"/>
      <c r="BG166" s="30"/>
      <c r="BH166" s="30"/>
      <c r="BI166" s="31"/>
      <c r="BJ166" s="32"/>
      <c r="BK166" s="31"/>
      <c r="BL166" s="30"/>
      <c r="BM166" s="30"/>
    </row>
    <row r="167">
      <c r="A167" s="18" t="s">
        <v>21</v>
      </c>
      <c r="B167" s="18" t="s">
        <v>1203</v>
      </c>
      <c r="C167" s="19" t="s">
        <v>1204</v>
      </c>
      <c r="D167" s="19" t="s">
        <v>67</v>
      </c>
      <c r="E167" s="19" t="s">
        <v>68</v>
      </c>
      <c r="F167" s="20">
        <v>500.0</v>
      </c>
      <c r="G167" s="21">
        <v>500.0</v>
      </c>
      <c r="H167" s="21">
        <v>0.11</v>
      </c>
      <c r="I167" s="21">
        <v>55.0</v>
      </c>
      <c r="J167" s="36" t="s">
        <v>1205</v>
      </c>
      <c r="K167" s="23">
        <v>0.11</v>
      </c>
      <c r="L167" s="51">
        <v>166.0</v>
      </c>
      <c r="M167" s="25" t="s">
        <v>69</v>
      </c>
      <c r="N167" s="25" t="s">
        <v>70</v>
      </c>
      <c r="O167" s="25">
        <v>2.1000000164E10</v>
      </c>
      <c r="P167" s="26" t="s">
        <v>1206</v>
      </c>
      <c r="Q167" s="27" t="s">
        <v>1207</v>
      </c>
      <c r="R167" s="28" t="s">
        <v>834</v>
      </c>
      <c r="S167" s="29">
        <f t="shared" si="1"/>
        <v>1000</v>
      </c>
      <c r="T167" s="30"/>
      <c r="U167" s="30"/>
      <c r="V167" s="29">
        <v>500.0</v>
      </c>
      <c r="W167" s="30"/>
      <c r="X167" s="30"/>
      <c r="Y167" s="30"/>
      <c r="Z167" s="38">
        <v>500.0</v>
      </c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1"/>
      <c r="AT167" s="38" t="s">
        <v>81</v>
      </c>
      <c r="AU167" s="32">
        <f t="shared" si="2"/>
        <v>0.11046</v>
      </c>
      <c r="AV167" s="33">
        <f t="shared" si="3"/>
        <v>0.143598</v>
      </c>
      <c r="AW167" s="34"/>
      <c r="AX167" s="32">
        <f> 53.41/500</f>
        <v>0.10682</v>
      </c>
      <c r="AY167" s="46" t="s">
        <v>1208</v>
      </c>
      <c r="AZ167" s="34"/>
      <c r="BA167" s="30"/>
      <c r="BB167" s="30"/>
      <c r="BC167" s="35"/>
      <c r="BD167" s="32">
        <f>65/500</f>
        <v>0.13</v>
      </c>
      <c r="BE167" s="46" t="s">
        <v>1209</v>
      </c>
      <c r="BF167" s="31"/>
      <c r="BG167" s="30"/>
      <c r="BH167" s="30"/>
      <c r="BI167" s="31"/>
      <c r="BJ167" s="32">
        <f>94.56 /1000</f>
        <v>0.09456</v>
      </c>
      <c r="BK167" s="39" t="s">
        <v>1210</v>
      </c>
      <c r="BL167" s="30"/>
      <c r="BM167" s="30"/>
    </row>
    <row r="168">
      <c r="A168" s="18" t="s">
        <v>20</v>
      </c>
      <c r="B168" s="18" t="s">
        <v>1211</v>
      </c>
      <c r="C168" s="19" t="s">
        <v>1212</v>
      </c>
      <c r="D168" s="19" t="s">
        <v>67</v>
      </c>
      <c r="E168" s="19" t="s">
        <v>68</v>
      </c>
      <c r="F168" s="20">
        <v>3.0</v>
      </c>
      <c r="G168" s="21">
        <v>3.0</v>
      </c>
      <c r="H168" s="21">
        <v>153.0</v>
      </c>
      <c r="I168" s="21">
        <v>459.0</v>
      </c>
      <c r="J168" s="45"/>
      <c r="K168" s="23">
        <v>1.05</v>
      </c>
      <c r="L168" s="24">
        <v>167.0</v>
      </c>
      <c r="M168" s="25" t="s">
        <v>69</v>
      </c>
      <c r="N168" s="25" t="s">
        <v>70</v>
      </c>
      <c r="O168" s="25">
        <v>2.1000000175E10</v>
      </c>
      <c r="P168" s="26" t="s">
        <v>1213</v>
      </c>
      <c r="Q168" s="27" t="s">
        <v>1214</v>
      </c>
      <c r="R168" s="28" t="s">
        <v>834</v>
      </c>
      <c r="S168" s="29">
        <f t="shared" si="1"/>
        <v>475</v>
      </c>
      <c r="T168" s="30"/>
      <c r="U168" s="28">
        <v>75.0</v>
      </c>
      <c r="V168" s="30"/>
      <c r="W168" s="30"/>
      <c r="X168" s="30"/>
      <c r="Y168" s="38">
        <v>100.0</v>
      </c>
      <c r="Z168" s="38">
        <f>25+25</f>
        <v>50</v>
      </c>
      <c r="AA168" s="30"/>
      <c r="AB168" s="38">
        <v>200.0</v>
      </c>
      <c r="AC168" s="30"/>
      <c r="AD168" s="30"/>
      <c r="AE168" s="30"/>
      <c r="AF168" s="30"/>
      <c r="AG168" s="30"/>
      <c r="AH168" s="30"/>
      <c r="AI168" s="38">
        <v>50.0</v>
      </c>
      <c r="AJ168" s="30"/>
      <c r="AK168" s="30"/>
      <c r="AL168" s="30"/>
      <c r="AM168" s="30"/>
      <c r="AN168" s="30"/>
      <c r="AO168" s="30"/>
      <c r="AP168" s="30"/>
      <c r="AQ168" s="30"/>
      <c r="AR168" s="30"/>
      <c r="AS168" s="31"/>
      <c r="AT168" s="38" t="s">
        <v>81</v>
      </c>
      <c r="AU168" s="32">
        <f t="shared" si="2"/>
        <v>1.067733333</v>
      </c>
      <c r="AV168" s="33">
        <f t="shared" si="3"/>
        <v>1.388053333</v>
      </c>
      <c r="AW168" s="34"/>
      <c r="AX168" s="32">
        <f>29.2/25</f>
        <v>1.168</v>
      </c>
      <c r="AY168" s="39" t="s">
        <v>1215</v>
      </c>
      <c r="AZ168" s="34"/>
      <c r="BA168" s="30"/>
      <c r="BB168" s="30"/>
      <c r="BC168" s="35"/>
      <c r="BD168" s="32">
        <f>26.88/25</f>
        <v>1.0752</v>
      </c>
      <c r="BE168" s="46" t="s">
        <v>1216</v>
      </c>
      <c r="BF168" s="31"/>
      <c r="BG168" s="30"/>
      <c r="BH168" s="30"/>
      <c r="BI168" s="31"/>
      <c r="BJ168" s="32">
        <f>24/25</f>
        <v>0.96</v>
      </c>
      <c r="BK168" s="39" t="s">
        <v>1217</v>
      </c>
      <c r="BL168" s="30"/>
      <c r="BM168" s="30"/>
    </row>
    <row r="169">
      <c r="A169" s="18" t="s">
        <v>41</v>
      </c>
      <c r="B169" s="18" t="s">
        <v>1218</v>
      </c>
      <c r="C169" s="19" t="s">
        <v>1219</v>
      </c>
      <c r="D169" s="19" t="s">
        <v>67</v>
      </c>
      <c r="E169" s="19" t="s">
        <v>68</v>
      </c>
      <c r="F169" s="20">
        <v>500.0</v>
      </c>
      <c r="G169" s="21">
        <v>500.0</v>
      </c>
      <c r="H169" s="21">
        <v>0.22</v>
      </c>
      <c r="I169" s="21">
        <v>110.0</v>
      </c>
      <c r="J169" s="45"/>
      <c r="K169" s="23">
        <v>0.66</v>
      </c>
      <c r="L169" s="24">
        <v>168.0</v>
      </c>
      <c r="M169" s="25" t="s">
        <v>69</v>
      </c>
      <c r="N169" s="25" t="s">
        <v>70</v>
      </c>
      <c r="O169" s="25">
        <v>2.1000000177E10</v>
      </c>
      <c r="P169" s="26" t="s">
        <v>1220</v>
      </c>
      <c r="Q169" s="27" t="s">
        <v>1221</v>
      </c>
      <c r="R169" s="28" t="s">
        <v>834</v>
      </c>
      <c r="S169" s="29">
        <f t="shared" si="1"/>
        <v>500</v>
      </c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29">
        <v>500.0</v>
      </c>
      <c r="AQ169" s="30"/>
      <c r="AR169" s="30"/>
      <c r="AS169" s="31"/>
      <c r="AT169" s="38" t="s">
        <v>81</v>
      </c>
      <c r="AU169" s="32">
        <f t="shared" si="2"/>
        <v>0.6221466667</v>
      </c>
      <c r="AV169" s="33">
        <f t="shared" si="3"/>
        <v>0.8087906667</v>
      </c>
      <c r="AW169" s="34"/>
      <c r="AX169" s="32">
        <f>133.87/250</f>
        <v>0.53548</v>
      </c>
      <c r="AY169" s="39" t="s">
        <v>1222</v>
      </c>
      <c r="AZ169" s="34"/>
      <c r="BA169" s="30"/>
      <c r="BB169" s="30"/>
      <c r="BC169" s="35"/>
      <c r="BD169" s="32">
        <f> 159.98/250</f>
        <v>0.63992</v>
      </c>
      <c r="BE169" s="46" t="s">
        <v>1223</v>
      </c>
      <c r="BF169" s="31"/>
      <c r="BG169" s="30"/>
      <c r="BH169" s="30"/>
      <c r="BI169" s="31"/>
      <c r="BJ169" s="32">
        <f>172.76/250</f>
        <v>0.69104</v>
      </c>
      <c r="BK169" s="46" t="s">
        <v>1224</v>
      </c>
      <c r="BL169" s="30"/>
      <c r="BM169" s="30"/>
    </row>
    <row r="170">
      <c r="A170" s="18" t="s">
        <v>25</v>
      </c>
      <c r="B170" s="18" t="s">
        <v>1225</v>
      </c>
      <c r="C170" s="19" t="s">
        <v>1226</v>
      </c>
      <c r="D170" s="19" t="s">
        <v>67</v>
      </c>
      <c r="E170" s="19" t="s">
        <v>68</v>
      </c>
      <c r="F170" s="20">
        <v>1000.0</v>
      </c>
      <c r="G170" s="21">
        <v>2.0</v>
      </c>
      <c r="H170" s="21">
        <v>95.0</v>
      </c>
      <c r="I170" s="21">
        <v>190.0</v>
      </c>
      <c r="J170" s="45"/>
      <c r="K170" s="23">
        <v>0.11</v>
      </c>
      <c r="L170" s="24">
        <v>169.0</v>
      </c>
      <c r="M170" s="25" t="s">
        <v>69</v>
      </c>
      <c r="N170" s="25" t="s">
        <v>70</v>
      </c>
      <c r="O170" s="25">
        <v>2.1000000207E10</v>
      </c>
      <c r="P170" s="26" t="s">
        <v>1227</v>
      </c>
      <c r="Q170" s="27" t="s">
        <v>1228</v>
      </c>
      <c r="R170" s="28" t="s">
        <v>834</v>
      </c>
      <c r="S170" s="29">
        <f t="shared" si="1"/>
        <v>1000</v>
      </c>
      <c r="T170" s="30"/>
      <c r="U170" s="30"/>
      <c r="V170" s="30"/>
      <c r="W170" s="30"/>
      <c r="X170" s="30"/>
      <c r="Y170" s="30"/>
      <c r="Z170" s="28">
        <v>1000.0</v>
      </c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1"/>
      <c r="AT170" s="38" t="s">
        <v>81</v>
      </c>
      <c r="AU170" s="32">
        <f t="shared" si="2"/>
        <v>0.1061733333</v>
      </c>
      <c r="AV170" s="33">
        <f t="shared" si="3"/>
        <v>0.1380253333</v>
      </c>
      <c r="AW170" s="34"/>
      <c r="AX170" s="32">
        <f>56.86/500</f>
        <v>0.11372</v>
      </c>
      <c r="AY170" s="39" t="s">
        <v>1229</v>
      </c>
      <c r="AZ170" s="34"/>
      <c r="BA170" s="30"/>
      <c r="BB170" s="30"/>
      <c r="BC170" s="35"/>
      <c r="BD170" s="32">
        <f>59.86/500</f>
        <v>0.11972</v>
      </c>
      <c r="BE170" s="46" t="s">
        <v>1230</v>
      </c>
      <c r="BF170" s="31"/>
      <c r="BG170" s="30"/>
      <c r="BH170" s="30"/>
      <c r="BI170" s="31"/>
      <c r="BJ170" s="32">
        <f>42.54/500</f>
        <v>0.08508</v>
      </c>
      <c r="BK170" s="39" t="s">
        <v>1231</v>
      </c>
      <c r="BL170" s="30"/>
      <c r="BM170" s="30"/>
    </row>
    <row r="171">
      <c r="A171" s="18" t="s">
        <v>25</v>
      </c>
      <c r="B171" s="18" t="s">
        <v>1232</v>
      </c>
      <c r="C171" s="19" t="s">
        <v>1233</v>
      </c>
      <c r="D171" s="19" t="s">
        <v>67</v>
      </c>
      <c r="E171" s="19" t="s">
        <v>68</v>
      </c>
      <c r="F171" s="20">
        <v>250.0</v>
      </c>
      <c r="G171" s="21">
        <v>1.0</v>
      </c>
      <c r="H171" s="21">
        <v>100.0</v>
      </c>
      <c r="I171" s="21">
        <v>100.0</v>
      </c>
      <c r="J171" s="45"/>
      <c r="K171" s="23">
        <v>0.71</v>
      </c>
      <c r="L171" s="24">
        <v>170.0</v>
      </c>
      <c r="M171" s="25" t="s">
        <v>69</v>
      </c>
      <c r="N171" s="25" t="s">
        <v>70</v>
      </c>
      <c r="O171" s="25">
        <v>2.1000000178E10</v>
      </c>
      <c r="P171" s="26" t="s">
        <v>1234</v>
      </c>
      <c r="Q171" s="27" t="s">
        <v>1235</v>
      </c>
      <c r="R171" s="28" t="s">
        <v>834</v>
      </c>
      <c r="S171" s="29">
        <f t="shared" si="1"/>
        <v>750</v>
      </c>
      <c r="T171" s="30"/>
      <c r="U171" s="30"/>
      <c r="V171" s="30"/>
      <c r="W171" s="30"/>
      <c r="X171" s="30"/>
      <c r="Y171" s="30"/>
      <c r="Z171" s="28">
        <v>250.0</v>
      </c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8">
        <v>500.0</v>
      </c>
      <c r="AP171" s="30"/>
      <c r="AQ171" s="30"/>
      <c r="AR171" s="30"/>
      <c r="AS171" s="31"/>
      <c r="AT171" s="38" t="s">
        <v>81</v>
      </c>
      <c r="AU171" s="32">
        <f t="shared" si="2"/>
        <v>0.6483466667</v>
      </c>
      <c r="AV171" s="33">
        <f t="shared" si="3"/>
        <v>0.8428506667</v>
      </c>
      <c r="AW171" s="34"/>
      <c r="AX171" s="32">
        <f> 159.98/250</f>
        <v>0.63992</v>
      </c>
      <c r="AY171" s="39" t="s">
        <v>1236</v>
      </c>
      <c r="AZ171" s="34"/>
      <c r="BA171" s="30"/>
      <c r="BB171" s="30"/>
      <c r="BC171" s="35"/>
      <c r="BD171" s="32">
        <f>168.4/250 </f>
        <v>0.6736</v>
      </c>
      <c r="BE171" s="39" t="s">
        <v>1237</v>
      </c>
      <c r="BF171" s="31"/>
      <c r="BG171" s="30"/>
      <c r="BH171" s="30"/>
      <c r="BI171" s="31"/>
      <c r="BJ171" s="32">
        <f>157.88/250</f>
        <v>0.63152</v>
      </c>
      <c r="BK171" s="46" t="s">
        <v>1238</v>
      </c>
      <c r="BL171" s="30"/>
      <c r="BM171" s="30"/>
    </row>
    <row r="172">
      <c r="A172" s="18" t="s">
        <v>25</v>
      </c>
      <c r="B172" s="18" t="s">
        <v>1239</v>
      </c>
      <c r="C172" s="19" t="s">
        <v>1240</v>
      </c>
      <c r="D172" s="19" t="s">
        <v>67</v>
      </c>
      <c r="E172" s="19" t="s">
        <v>68</v>
      </c>
      <c r="F172" s="20">
        <v>2000.0</v>
      </c>
      <c r="G172" s="85">
        <v>80.0</v>
      </c>
      <c r="H172" s="21">
        <v>133.0</v>
      </c>
      <c r="I172" s="21">
        <v>10640.0</v>
      </c>
      <c r="J172" s="36" t="s">
        <v>1241</v>
      </c>
      <c r="K172" s="23">
        <v>4.54</v>
      </c>
      <c r="L172" s="24">
        <v>171.0</v>
      </c>
      <c r="M172" s="25" t="s">
        <v>69</v>
      </c>
      <c r="N172" s="25" t="s">
        <v>70</v>
      </c>
      <c r="O172" s="25">
        <v>2.1000000047E10</v>
      </c>
      <c r="P172" s="26" t="s">
        <v>1242</v>
      </c>
      <c r="Q172" s="27" t="s">
        <v>1243</v>
      </c>
      <c r="R172" s="28" t="s">
        <v>79</v>
      </c>
      <c r="S172" s="29">
        <f t="shared" si="1"/>
        <v>100</v>
      </c>
      <c r="T172" s="30"/>
      <c r="U172" s="30"/>
      <c r="V172" s="30"/>
      <c r="W172" s="30"/>
      <c r="X172" s="30"/>
      <c r="Y172" s="30"/>
      <c r="Z172" s="28">
        <v>100.0</v>
      </c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1"/>
      <c r="AT172" s="38" t="s">
        <v>81</v>
      </c>
      <c r="AU172" s="32">
        <f t="shared" si="2"/>
        <v>4.545333333</v>
      </c>
      <c r="AV172" s="33">
        <f t="shared" si="3"/>
        <v>5.908933333</v>
      </c>
      <c r="AW172" s="34"/>
      <c r="AX172" s="32">
        <f>115.32/25</f>
        <v>4.6128</v>
      </c>
      <c r="AY172" s="39" t="s">
        <v>1244</v>
      </c>
      <c r="AZ172" s="34"/>
      <c r="BA172" s="30"/>
      <c r="BB172" s="30"/>
      <c r="BC172" s="35"/>
      <c r="BD172" s="32">
        <f>102.57/25</f>
        <v>4.1028</v>
      </c>
      <c r="BE172" s="46" t="s">
        <v>1245</v>
      </c>
      <c r="BF172" s="31"/>
      <c r="BG172" s="30"/>
      <c r="BH172" s="30"/>
      <c r="BI172" s="31"/>
      <c r="BJ172" s="32">
        <f> 123.01 /25</f>
        <v>4.9204</v>
      </c>
      <c r="BK172" s="39" t="s">
        <v>1246</v>
      </c>
      <c r="BL172" s="30"/>
      <c r="BM172" s="30"/>
    </row>
    <row r="173">
      <c r="A173" s="18" t="s">
        <v>25</v>
      </c>
      <c r="B173" s="18" t="s">
        <v>1247</v>
      </c>
      <c r="C173" s="19" t="s">
        <v>1248</v>
      </c>
      <c r="D173" s="19" t="s">
        <v>67</v>
      </c>
      <c r="E173" s="19" t="s">
        <v>68</v>
      </c>
      <c r="F173" s="20">
        <v>100.0</v>
      </c>
      <c r="G173" s="21">
        <v>1.0</v>
      </c>
      <c r="H173" s="21">
        <v>0.0</v>
      </c>
      <c r="I173" s="21">
        <v>0.0</v>
      </c>
      <c r="J173" s="45"/>
      <c r="K173" s="23">
        <v>0.57</v>
      </c>
      <c r="L173" s="24">
        <v>172.0</v>
      </c>
      <c r="M173" s="25" t="s">
        <v>69</v>
      </c>
      <c r="N173" s="25" t="s">
        <v>70</v>
      </c>
      <c r="O173" s="25">
        <v>2.100000018E10</v>
      </c>
      <c r="P173" s="26" t="s">
        <v>1249</v>
      </c>
      <c r="Q173" s="27" t="s">
        <v>1250</v>
      </c>
      <c r="R173" s="28" t="s">
        <v>79</v>
      </c>
      <c r="S173" s="29">
        <f t="shared" si="1"/>
        <v>100</v>
      </c>
      <c r="T173" s="30"/>
      <c r="U173" s="30"/>
      <c r="V173" s="30"/>
      <c r="W173" s="30"/>
      <c r="X173" s="30"/>
      <c r="Y173" s="30"/>
      <c r="Z173" s="28">
        <v>100.0</v>
      </c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1"/>
      <c r="AT173" s="38" t="s">
        <v>81</v>
      </c>
      <c r="AU173" s="32">
        <f t="shared" si="2"/>
        <v>0.4263</v>
      </c>
      <c r="AV173" s="33">
        <f t="shared" si="3"/>
        <v>0.55419</v>
      </c>
      <c r="AW173" s="34"/>
      <c r="AX173" s="32">
        <f> 213.15/500</f>
        <v>0.4263</v>
      </c>
      <c r="AY173" s="39" t="s">
        <v>1251</v>
      </c>
      <c r="AZ173" s="34"/>
      <c r="BA173" s="30"/>
      <c r="BB173" s="30"/>
      <c r="BC173" s="35"/>
      <c r="BD173" s="32"/>
      <c r="BE173" s="31"/>
      <c r="BF173" s="31"/>
      <c r="BG173" s="30"/>
      <c r="BH173" s="30"/>
      <c r="BI173" s="31"/>
      <c r="BJ173" s="32"/>
      <c r="BK173" s="31"/>
      <c r="BL173" s="30"/>
      <c r="BM173" s="30"/>
    </row>
    <row r="174">
      <c r="A174" s="18" t="s">
        <v>36</v>
      </c>
      <c r="B174" s="18" t="s">
        <v>1252</v>
      </c>
      <c r="C174" s="19" t="s">
        <v>1253</v>
      </c>
      <c r="D174" s="19" t="s">
        <v>67</v>
      </c>
      <c r="E174" s="19" t="s">
        <v>68</v>
      </c>
      <c r="F174" s="20">
        <v>300.0</v>
      </c>
      <c r="G174" s="21">
        <v>300.0</v>
      </c>
      <c r="H174" s="21">
        <v>30.67</v>
      </c>
      <c r="I174" s="21">
        <v>9201.0</v>
      </c>
      <c r="J174" s="45"/>
      <c r="K174" s="23">
        <v>27.97</v>
      </c>
      <c r="L174" s="24">
        <v>173.0</v>
      </c>
      <c r="M174" s="25" t="s">
        <v>69</v>
      </c>
      <c r="N174" s="25" t="s">
        <v>70</v>
      </c>
      <c r="O174" s="25">
        <v>2.1000000181E10</v>
      </c>
      <c r="P174" s="26" t="s">
        <v>1254</v>
      </c>
      <c r="Q174" s="27" t="s">
        <v>1255</v>
      </c>
      <c r="R174" s="28" t="s">
        <v>124</v>
      </c>
      <c r="S174" s="29">
        <f t="shared" si="1"/>
        <v>300</v>
      </c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29">
        <v>300.0</v>
      </c>
      <c r="AL174" s="30"/>
      <c r="AM174" s="30"/>
      <c r="AN174" s="30"/>
      <c r="AO174" s="30"/>
      <c r="AP174" s="30"/>
      <c r="AQ174" s="30"/>
      <c r="AR174" s="30"/>
      <c r="AS174" s="31"/>
      <c r="AT174" s="38" t="s">
        <v>81</v>
      </c>
      <c r="AU174" s="32">
        <f t="shared" si="2"/>
        <v>24.68666667</v>
      </c>
      <c r="AV174" s="33">
        <f t="shared" si="3"/>
        <v>32.09266667</v>
      </c>
      <c r="AW174" s="34"/>
      <c r="AX174" s="42">
        <v>23.12</v>
      </c>
      <c r="AY174" s="46" t="s">
        <v>1256</v>
      </c>
      <c r="AZ174" s="34"/>
      <c r="BA174" s="30"/>
      <c r="BB174" s="30"/>
      <c r="BC174" s="35"/>
      <c r="BD174" s="42">
        <v>25.0</v>
      </c>
      <c r="BE174" s="46" t="s">
        <v>1257</v>
      </c>
      <c r="BF174" s="31"/>
      <c r="BG174" s="30"/>
      <c r="BH174" s="30"/>
      <c r="BI174" s="31"/>
      <c r="BJ174" s="42">
        <v>25.94</v>
      </c>
      <c r="BK174" s="39" t="s">
        <v>1258</v>
      </c>
      <c r="BL174" s="30"/>
      <c r="BM174" s="30"/>
    </row>
    <row r="175">
      <c r="A175" s="18" t="s">
        <v>43</v>
      </c>
      <c r="B175" s="18" t="s">
        <v>1259</v>
      </c>
      <c r="C175" s="19" t="s">
        <v>1260</v>
      </c>
      <c r="D175" s="19" t="s">
        <v>67</v>
      </c>
      <c r="E175" s="19" t="s">
        <v>68</v>
      </c>
      <c r="F175" s="20">
        <v>100.0</v>
      </c>
      <c r="G175" s="21">
        <v>100.0</v>
      </c>
      <c r="H175" s="21">
        <v>18.0</v>
      </c>
      <c r="I175" s="21">
        <v>1800.0</v>
      </c>
      <c r="J175" s="45"/>
      <c r="K175" s="23">
        <v>24.08</v>
      </c>
      <c r="L175" s="24">
        <v>174.0</v>
      </c>
      <c r="M175" s="25" t="s">
        <v>69</v>
      </c>
      <c r="N175" s="25" t="s">
        <v>70</v>
      </c>
      <c r="O175" s="25">
        <v>2.1000000255E10</v>
      </c>
      <c r="P175" s="26" t="s">
        <v>1261</v>
      </c>
      <c r="Q175" s="27" t="s">
        <v>1262</v>
      </c>
      <c r="R175" s="28" t="s">
        <v>124</v>
      </c>
      <c r="S175" s="29">
        <f t="shared" si="1"/>
        <v>111</v>
      </c>
      <c r="T175" s="30"/>
      <c r="U175" s="30"/>
      <c r="V175" s="38">
        <v>4.0</v>
      </c>
      <c r="W175" s="30"/>
      <c r="X175" s="30"/>
      <c r="Y175" s="30"/>
      <c r="Z175" s="38">
        <v>4.0</v>
      </c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8">
        <v>2.0</v>
      </c>
      <c r="AP175" s="30"/>
      <c r="AQ175" s="30"/>
      <c r="AR175" s="28">
        <f>100+1</f>
        <v>101</v>
      </c>
      <c r="AS175" s="31"/>
      <c r="AT175" s="38" t="s">
        <v>81</v>
      </c>
      <c r="AU175" s="32">
        <f t="shared" si="2"/>
        <v>24.46666667</v>
      </c>
      <c r="AV175" s="33">
        <f t="shared" si="3"/>
        <v>31.80666667</v>
      </c>
      <c r="AW175" s="34"/>
      <c r="AX175" s="42">
        <v>23.12</v>
      </c>
      <c r="AY175" s="39" t="s">
        <v>1263</v>
      </c>
      <c r="AZ175" s="34"/>
      <c r="BA175" s="30"/>
      <c r="BB175" s="30"/>
      <c r="BC175" s="35"/>
      <c r="BD175" s="42">
        <v>24.34</v>
      </c>
      <c r="BE175" s="46" t="s">
        <v>1264</v>
      </c>
      <c r="BF175" s="31"/>
      <c r="BG175" s="30"/>
      <c r="BH175" s="30"/>
      <c r="BI175" s="31"/>
      <c r="BJ175" s="42">
        <v>25.94</v>
      </c>
      <c r="BK175" s="46" t="s">
        <v>1265</v>
      </c>
      <c r="BL175" s="30"/>
      <c r="BM175" s="30"/>
    </row>
    <row r="176">
      <c r="A176" s="18" t="s">
        <v>20</v>
      </c>
      <c r="B176" s="18" t="s">
        <v>1266</v>
      </c>
      <c r="C176" s="19" t="s">
        <v>1267</v>
      </c>
      <c r="D176" s="19" t="s">
        <v>67</v>
      </c>
      <c r="E176" s="19" t="s">
        <v>68</v>
      </c>
      <c r="F176" s="20">
        <v>8.0</v>
      </c>
      <c r="G176" s="21">
        <v>8.0</v>
      </c>
      <c r="H176" s="21">
        <v>95.0</v>
      </c>
      <c r="I176" s="21">
        <v>760.0</v>
      </c>
      <c r="J176" s="45"/>
      <c r="K176" s="23">
        <v>0.11</v>
      </c>
      <c r="L176" s="24">
        <v>175.0</v>
      </c>
      <c r="M176" s="25" t="s">
        <v>69</v>
      </c>
      <c r="N176" s="25" t="s">
        <v>70</v>
      </c>
      <c r="O176" s="25">
        <v>2.1000000258E10</v>
      </c>
      <c r="P176" s="26" t="s">
        <v>1268</v>
      </c>
      <c r="Q176" s="27" t="s">
        <v>1269</v>
      </c>
      <c r="R176" s="28" t="s">
        <v>79</v>
      </c>
      <c r="S176" s="29">
        <f t="shared" si="1"/>
        <v>4000</v>
      </c>
      <c r="T176" s="30"/>
      <c r="U176" s="28">
        <v>4000.0</v>
      </c>
      <c r="V176" s="38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1"/>
      <c r="AT176" s="38" t="s">
        <v>81</v>
      </c>
      <c r="AU176" s="32">
        <f t="shared" si="2"/>
        <v>0.09668666667</v>
      </c>
      <c r="AV176" s="33">
        <f t="shared" si="3"/>
        <v>0.1256926667</v>
      </c>
      <c r="AW176" s="34"/>
      <c r="AX176" s="32">
        <f>106.07/1000</f>
        <v>0.10607</v>
      </c>
      <c r="AY176" s="46" t="s">
        <v>1270</v>
      </c>
      <c r="AZ176" s="34"/>
      <c r="BA176" s="30"/>
      <c r="BB176" s="30"/>
      <c r="BC176" s="35"/>
      <c r="BD176" s="32">
        <f>90.64/1000</f>
        <v>0.09064</v>
      </c>
      <c r="BE176" s="46" t="s">
        <v>1271</v>
      </c>
      <c r="BF176" s="31"/>
      <c r="BG176" s="30"/>
      <c r="BH176" s="30"/>
      <c r="BI176" s="31"/>
      <c r="BJ176" s="32">
        <f>93.35/1000</f>
        <v>0.09335</v>
      </c>
      <c r="BK176" s="46" t="s">
        <v>1272</v>
      </c>
      <c r="BL176" s="30"/>
      <c r="BM176" s="30"/>
    </row>
    <row r="177">
      <c r="A177" s="18" t="s">
        <v>25</v>
      </c>
      <c r="B177" s="18" t="s">
        <v>1273</v>
      </c>
      <c r="C177" s="19" t="s">
        <v>1274</v>
      </c>
      <c r="D177" s="19" t="s">
        <v>67</v>
      </c>
      <c r="E177" s="19" t="s">
        <v>68</v>
      </c>
      <c r="F177" s="20">
        <v>500.0</v>
      </c>
      <c r="G177" s="21">
        <v>1.0</v>
      </c>
      <c r="H177" s="21">
        <v>0.0</v>
      </c>
      <c r="I177" s="21">
        <v>0.0</v>
      </c>
      <c r="J177" s="45"/>
      <c r="K177" s="23">
        <v>0.11</v>
      </c>
      <c r="L177" s="24">
        <v>176.0</v>
      </c>
      <c r="M177" s="25" t="s">
        <v>69</v>
      </c>
      <c r="N177" s="25" t="s">
        <v>70</v>
      </c>
      <c r="O177" s="25">
        <v>2.1000000388E10</v>
      </c>
      <c r="P177" s="26" t="s">
        <v>1275</v>
      </c>
      <c r="Q177" s="27" t="s">
        <v>1276</v>
      </c>
      <c r="R177" s="28" t="s">
        <v>79</v>
      </c>
      <c r="S177" s="29">
        <f t="shared" si="1"/>
        <v>500</v>
      </c>
      <c r="T177" s="30"/>
      <c r="U177" s="30"/>
      <c r="V177" s="30"/>
      <c r="W177" s="30"/>
      <c r="X177" s="30"/>
      <c r="Y177" s="30"/>
      <c r="Z177" s="28">
        <v>500.0</v>
      </c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1"/>
      <c r="AT177" s="38" t="s">
        <v>81</v>
      </c>
      <c r="AU177" s="32">
        <f t="shared" si="2"/>
        <v>0.1115066667</v>
      </c>
      <c r="AV177" s="33">
        <f t="shared" si="3"/>
        <v>0.1449586667</v>
      </c>
      <c r="AW177" s="34"/>
      <c r="AX177" s="32">
        <f>55.42/500</f>
        <v>0.11084</v>
      </c>
      <c r="AY177" s="46" t="s">
        <v>1277</v>
      </c>
      <c r="AZ177" s="34"/>
      <c r="BA177" s="30"/>
      <c r="BB177" s="30"/>
      <c r="BC177" s="35"/>
      <c r="BD177" s="32">
        <f>48.08/500</f>
        <v>0.09616</v>
      </c>
      <c r="BE177" s="46" t="s">
        <v>1278</v>
      </c>
      <c r="BF177" s="31"/>
      <c r="BG177" s="30"/>
      <c r="BH177" s="30"/>
      <c r="BI177" s="31"/>
      <c r="BJ177" s="32">
        <f>63.76/500</f>
        <v>0.12752</v>
      </c>
      <c r="BK177" s="39" t="s">
        <v>1279</v>
      </c>
      <c r="BL177" s="30"/>
      <c r="BM177" s="30"/>
    </row>
    <row r="178">
      <c r="A178" s="18" t="s">
        <v>21</v>
      </c>
      <c r="B178" s="18" t="s">
        <v>1280</v>
      </c>
      <c r="C178" s="19" t="s">
        <v>1281</v>
      </c>
      <c r="D178" s="19" t="s">
        <v>67</v>
      </c>
      <c r="E178" s="19" t="s">
        <v>68</v>
      </c>
      <c r="F178" s="20">
        <v>500.0</v>
      </c>
      <c r="G178" s="21">
        <v>500.0</v>
      </c>
      <c r="H178" s="21">
        <v>0.09</v>
      </c>
      <c r="I178" s="21">
        <v>45.0</v>
      </c>
      <c r="J178" s="45"/>
      <c r="K178" s="23">
        <v>0.09</v>
      </c>
      <c r="L178" s="24">
        <v>177.0</v>
      </c>
      <c r="M178" s="25" t="s">
        <v>69</v>
      </c>
      <c r="N178" s="25" t="s">
        <v>70</v>
      </c>
      <c r="O178" s="25">
        <v>2.1000000259E10</v>
      </c>
      <c r="P178" s="26" t="s">
        <v>1282</v>
      </c>
      <c r="Q178" s="27" t="s">
        <v>1283</v>
      </c>
      <c r="R178" s="28" t="s">
        <v>79</v>
      </c>
      <c r="S178" s="29">
        <f t="shared" si="1"/>
        <v>500</v>
      </c>
      <c r="T178" s="30"/>
      <c r="U178" s="30"/>
      <c r="V178" s="29">
        <v>500.0</v>
      </c>
      <c r="W178" s="30"/>
      <c r="X178" s="30"/>
      <c r="Y178" s="30"/>
      <c r="Z178" s="38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1"/>
      <c r="AT178" s="38" t="s">
        <v>81</v>
      </c>
      <c r="AU178" s="32">
        <f t="shared" si="2"/>
        <v>0.1023666667</v>
      </c>
      <c r="AV178" s="33">
        <f t="shared" si="3"/>
        <v>0.1330766667</v>
      </c>
      <c r="AW178" s="34"/>
      <c r="AX178" s="32">
        <f>39.55/500</f>
        <v>0.0791</v>
      </c>
      <c r="AY178" s="46" t="s">
        <v>1284</v>
      </c>
      <c r="AZ178" s="34"/>
      <c r="BA178" s="30"/>
      <c r="BB178" s="30"/>
      <c r="BC178" s="35"/>
      <c r="BD178" s="32">
        <f>54/500</f>
        <v>0.108</v>
      </c>
      <c r="BE178" s="46" t="s">
        <v>1285</v>
      </c>
      <c r="BF178" s="31"/>
      <c r="BG178" s="30"/>
      <c r="BH178" s="30"/>
      <c r="BI178" s="31"/>
      <c r="BJ178" s="32">
        <f>60/500</f>
        <v>0.12</v>
      </c>
      <c r="BK178" s="39" t="s">
        <v>1286</v>
      </c>
      <c r="BL178" s="30"/>
      <c r="BM178" s="30"/>
    </row>
    <row r="179">
      <c r="A179" s="18" t="s">
        <v>25</v>
      </c>
      <c r="B179" s="18" t="s">
        <v>1287</v>
      </c>
      <c r="C179" s="19" t="s">
        <v>1288</v>
      </c>
      <c r="D179" s="19" t="s">
        <v>67</v>
      </c>
      <c r="E179" s="19" t="s">
        <v>68</v>
      </c>
      <c r="F179" s="20">
        <v>2000.0</v>
      </c>
      <c r="G179" s="21">
        <v>4.0</v>
      </c>
      <c r="H179" s="21">
        <v>26.0</v>
      </c>
      <c r="I179" s="21">
        <v>104.0</v>
      </c>
      <c r="J179" s="45"/>
      <c r="K179" s="23">
        <v>0.16</v>
      </c>
      <c r="L179" s="24">
        <v>178.0</v>
      </c>
      <c r="M179" s="25" t="s">
        <v>69</v>
      </c>
      <c r="N179" s="25" t="s">
        <v>70</v>
      </c>
      <c r="O179" s="25">
        <v>2.100000026E10</v>
      </c>
      <c r="P179" s="26" t="s">
        <v>1289</v>
      </c>
      <c r="Q179" s="27" t="s">
        <v>1290</v>
      </c>
      <c r="R179" s="28" t="s">
        <v>79</v>
      </c>
      <c r="S179" s="29">
        <f t="shared" si="1"/>
        <v>4500</v>
      </c>
      <c r="T179" s="30"/>
      <c r="U179" s="38">
        <v>2000.0</v>
      </c>
      <c r="V179" s="30"/>
      <c r="W179" s="30"/>
      <c r="X179" s="30"/>
      <c r="Y179" s="30"/>
      <c r="Z179" s="28">
        <f>2000+500</f>
        <v>2500</v>
      </c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1"/>
      <c r="AT179" s="38" t="s">
        <v>81</v>
      </c>
      <c r="AU179" s="32">
        <f t="shared" si="2"/>
        <v>0.1009</v>
      </c>
      <c r="AV179" s="33">
        <f t="shared" si="3"/>
        <v>0.13117</v>
      </c>
      <c r="AW179" s="34"/>
      <c r="AX179" s="32">
        <f>56.4/500</f>
        <v>0.1128</v>
      </c>
      <c r="AY179" s="46" t="s">
        <v>1291</v>
      </c>
      <c r="AZ179" s="34"/>
      <c r="BA179" s="30"/>
      <c r="BB179" s="30"/>
      <c r="BC179" s="35"/>
      <c r="BD179" s="32">
        <f>95.82/1000</f>
        <v>0.09582</v>
      </c>
      <c r="BE179" s="46" t="s">
        <v>1292</v>
      </c>
      <c r="BF179" s="31"/>
      <c r="BG179" s="30"/>
      <c r="BH179" s="30"/>
      <c r="BI179" s="31"/>
      <c r="BJ179" s="32">
        <f>94.08/1000</f>
        <v>0.09408</v>
      </c>
      <c r="BK179" s="46" t="s">
        <v>1293</v>
      </c>
      <c r="BL179" s="30"/>
      <c r="BM179" s="30"/>
    </row>
    <row r="180">
      <c r="A180" s="18" t="s">
        <v>25</v>
      </c>
      <c r="B180" s="18" t="s">
        <v>1294</v>
      </c>
      <c r="C180" s="19" t="s">
        <v>1295</v>
      </c>
      <c r="D180" s="19" t="s">
        <v>67</v>
      </c>
      <c r="E180" s="19" t="s">
        <v>68</v>
      </c>
      <c r="F180" s="20">
        <v>2500.0</v>
      </c>
      <c r="G180" s="21">
        <v>2500.0</v>
      </c>
      <c r="H180" s="21">
        <v>0.16</v>
      </c>
      <c r="I180" s="21">
        <v>400.0</v>
      </c>
      <c r="J180" s="45"/>
      <c r="K180" s="23">
        <v>0.11</v>
      </c>
      <c r="L180" s="24">
        <v>179.0</v>
      </c>
      <c r="M180" s="25" t="s">
        <v>69</v>
      </c>
      <c r="N180" s="25" t="s">
        <v>70</v>
      </c>
      <c r="O180" s="25">
        <v>2.1000000319E10</v>
      </c>
      <c r="P180" s="26" t="s">
        <v>1296</v>
      </c>
      <c r="Q180" s="27" t="s">
        <v>1297</v>
      </c>
      <c r="R180" s="28" t="s">
        <v>79</v>
      </c>
      <c r="S180" s="29">
        <f t="shared" si="1"/>
        <v>4000</v>
      </c>
      <c r="T180" s="30"/>
      <c r="U180" s="30"/>
      <c r="V180" s="38">
        <v>500.0</v>
      </c>
      <c r="W180" s="30"/>
      <c r="X180" s="30"/>
      <c r="Y180" s="30"/>
      <c r="Z180" s="29">
        <f>2500+1000</f>
        <v>3500</v>
      </c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1"/>
      <c r="AT180" s="38" t="s">
        <v>81</v>
      </c>
      <c r="AU180" s="32">
        <f t="shared" si="2"/>
        <v>0.1007066667</v>
      </c>
      <c r="AV180" s="33">
        <f t="shared" si="3"/>
        <v>0.1309186667</v>
      </c>
      <c r="AW180" s="34"/>
      <c r="AX180" s="32">
        <f>50/500</f>
        <v>0.1</v>
      </c>
      <c r="AY180" s="46" t="s">
        <v>1298</v>
      </c>
      <c r="AZ180" s="34"/>
      <c r="BA180" s="30"/>
      <c r="BB180" s="30"/>
      <c r="BC180" s="35"/>
      <c r="BD180" s="32">
        <f>55.63/500</f>
        <v>0.11126</v>
      </c>
      <c r="BE180" s="46" t="s">
        <v>1299</v>
      </c>
      <c r="BF180" s="31"/>
      <c r="BG180" s="30"/>
      <c r="BH180" s="30"/>
      <c r="BI180" s="31"/>
      <c r="BJ180" s="32">
        <f>45.43/500</f>
        <v>0.09086</v>
      </c>
      <c r="BK180" s="39" t="s">
        <v>1300</v>
      </c>
      <c r="BL180" s="30"/>
      <c r="BM180" s="30"/>
    </row>
    <row r="181">
      <c r="A181" s="18" t="s">
        <v>25</v>
      </c>
      <c r="B181" s="18" t="s">
        <v>1301</v>
      </c>
      <c r="C181" s="19" t="s">
        <v>1302</v>
      </c>
      <c r="D181" s="19" t="s">
        <v>67</v>
      </c>
      <c r="E181" s="19" t="s">
        <v>68</v>
      </c>
      <c r="F181" s="20">
        <v>500.0</v>
      </c>
      <c r="G181" s="21">
        <v>500.0</v>
      </c>
      <c r="H181" s="21">
        <v>0.07</v>
      </c>
      <c r="I181" s="21">
        <v>35.0</v>
      </c>
      <c r="J181" s="45"/>
      <c r="K181" s="23">
        <v>0.07</v>
      </c>
      <c r="L181" s="24">
        <v>180.0</v>
      </c>
      <c r="M181" s="25" t="s">
        <v>69</v>
      </c>
      <c r="N181" s="25" t="s">
        <v>70</v>
      </c>
      <c r="O181" s="25">
        <v>2.1000000653E10</v>
      </c>
      <c r="P181" s="26" t="s">
        <v>1303</v>
      </c>
      <c r="Q181" s="27" t="s">
        <v>1304</v>
      </c>
      <c r="R181" s="28" t="s">
        <v>79</v>
      </c>
      <c r="S181" s="29">
        <f t="shared" si="1"/>
        <v>17500</v>
      </c>
      <c r="T181" s="30"/>
      <c r="U181" s="30"/>
      <c r="V181" s="30"/>
      <c r="W181" s="30"/>
      <c r="X181" s="30"/>
      <c r="Y181" s="30"/>
      <c r="Z181" s="29">
        <f>500+2000</f>
        <v>2500</v>
      </c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>
        <f>7500+7500</f>
        <v>15000</v>
      </c>
      <c r="AS181" s="31"/>
      <c r="AT181" s="38" t="s">
        <v>81</v>
      </c>
      <c r="AU181" s="32">
        <f t="shared" si="2"/>
        <v>0.1072733333</v>
      </c>
      <c r="AV181" s="33">
        <f t="shared" si="3"/>
        <v>0.1394553333</v>
      </c>
      <c r="AW181" s="34"/>
      <c r="AX181" s="32">
        <f>49.8/500</f>
        <v>0.0996</v>
      </c>
      <c r="AY181" s="46" t="s">
        <v>1305</v>
      </c>
      <c r="AZ181" s="34"/>
      <c r="BA181" s="30"/>
      <c r="BB181" s="30"/>
      <c r="BC181" s="35"/>
      <c r="BD181" s="32">
        <f>46.31/500</f>
        <v>0.09262</v>
      </c>
      <c r="BE181" s="46" t="s">
        <v>1306</v>
      </c>
      <c r="BF181" s="31"/>
      <c r="BG181" s="30"/>
      <c r="BH181" s="30"/>
      <c r="BI181" s="31"/>
      <c r="BJ181" s="32">
        <f>64.8/500</f>
        <v>0.1296</v>
      </c>
      <c r="BK181" s="39" t="s">
        <v>1307</v>
      </c>
      <c r="BL181" s="30"/>
      <c r="BM181" s="30"/>
    </row>
    <row r="182">
      <c r="A182" s="18" t="s">
        <v>25</v>
      </c>
      <c r="B182" s="18" t="s">
        <v>1308</v>
      </c>
      <c r="C182" s="19" t="s">
        <v>1309</v>
      </c>
      <c r="D182" s="19" t="s">
        <v>67</v>
      </c>
      <c r="E182" s="19" t="s">
        <v>68</v>
      </c>
      <c r="F182" s="20">
        <v>500.0</v>
      </c>
      <c r="G182" s="21">
        <v>500.0</v>
      </c>
      <c r="H182" s="21">
        <v>0.11</v>
      </c>
      <c r="I182" s="21">
        <v>55.0</v>
      </c>
      <c r="J182" s="45"/>
      <c r="K182" s="23">
        <v>0.08</v>
      </c>
      <c r="L182" s="24">
        <v>181.0</v>
      </c>
      <c r="M182" s="25" t="s">
        <v>69</v>
      </c>
      <c r="N182" s="25" t="s">
        <v>70</v>
      </c>
      <c r="O182" s="25">
        <v>2.1000000256E10</v>
      </c>
      <c r="P182" s="26" t="s">
        <v>1310</v>
      </c>
      <c r="Q182" s="27" t="s">
        <v>1311</v>
      </c>
      <c r="R182" s="28" t="s">
        <v>79</v>
      </c>
      <c r="S182" s="29">
        <f t="shared" si="1"/>
        <v>2000</v>
      </c>
      <c r="T182" s="30"/>
      <c r="U182" s="30"/>
      <c r="V182" s="30"/>
      <c r="W182" s="30"/>
      <c r="X182" s="30"/>
      <c r="Y182" s="30"/>
      <c r="Z182" s="29">
        <f>500+1500</f>
        <v>2000</v>
      </c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1"/>
      <c r="AT182" s="38" t="s">
        <v>81</v>
      </c>
      <c r="AU182" s="32">
        <f t="shared" si="2"/>
        <v>0.07982666667</v>
      </c>
      <c r="AV182" s="33">
        <f t="shared" si="3"/>
        <v>0.1037746667</v>
      </c>
      <c r="AW182" s="34"/>
      <c r="AX182" s="32">
        <f> 41.82/500</f>
        <v>0.08364</v>
      </c>
      <c r="AY182" s="46" t="s">
        <v>1312</v>
      </c>
      <c r="AZ182" s="34"/>
      <c r="BA182" s="30"/>
      <c r="BB182" s="30"/>
      <c r="BC182" s="35"/>
      <c r="BD182" s="32">
        <f>34.32/500</f>
        <v>0.06864</v>
      </c>
      <c r="BE182" s="39" t="s">
        <v>1313</v>
      </c>
      <c r="BF182" s="31"/>
      <c r="BG182" s="30"/>
      <c r="BH182" s="30"/>
      <c r="BI182" s="31"/>
      <c r="BJ182" s="32">
        <f>43.6/500</f>
        <v>0.0872</v>
      </c>
      <c r="BK182" s="39" t="s">
        <v>1314</v>
      </c>
      <c r="BL182" s="30"/>
      <c r="BM182" s="30"/>
    </row>
    <row r="183">
      <c r="A183" s="18" t="s">
        <v>40</v>
      </c>
      <c r="B183" s="18" t="s">
        <v>1315</v>
      </c>
      <c r="C183" s="19" t="s">
        <v>1316</v>
      </c>
      <c r="D183" s="19" t="s">
        <v>67</v>
      </c>
      <c r="E183" s="19" t="s">
        <v>68</v>
      </c>
      <c r="F183" s="20">
        <v>2.0</v>
      </c>
      <c r="G183" s="21">
        <v>2.0</v>
      </c>
      <c r="H183" s="21">
        <v>52.24</v>
      </c>
      <c r="I183" s="21">
        <v>104.48</v>
      </c>
      <c r="J183" s="45"/>
      <c r="K183" s="23">
        <v>0.1</v>
      </c>
      <c r="L183" s="24">
        <v>182.0</v>
      </c>
      <c r="M183" s="25" t="s">
        <v>69</v>
      </c>
      <c r="N183" s="25" t="s">
        <v>70</v>
      </c>
      <c r="O183" s="25">
        <v>2.1000000391E10</v>
      </c>
      <c r="P183" s="26" t="s">
        <v>1317</v>
      </c>
      <c r="Q183" s="27" t="s">
        <v>1318</v>
      </c>
      <c r="R183" s="28" t="s">
        <v>79</v>
      </c>
      <c r="S183" s="29">
        <f t="shared" si="1"/>
        <v>3000</v>
      </c>
      <c r="T183" s="30"/>
      <c r="U183" s="30"/>
      <c r="V183" s="30"/>
      <c r="W183" s="30"/>
      <c r="X183" s="30"/>
      <c r="Y183" s="30"/>
      <c r="Z183" s="38">
        <f>500+500</f>
        <v>1000</v>
      </c>
      <c r="AA183" s="30"/>
      <c r="AB183" s="30"/>
      <c r="AC183" s="38">
        <v>1000.0</v>
      </c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28">
        <v>1000.0</v>
      </c>
      <c r="AP183" s="30"/>
      <c r="AQ183" s="30"/>
      <c r="AR183" s="30"/>
      <c r="AS183" s="31"/>
      <c r="AT183" s="38" t="s">
        <v>81</v>
      </c>
      <c r="AU183" s="32">
        <f t="shared" si="2"/>
        <v>0.07446</v>
      </c>
      <c r="AV183" s="33">
        <f t="shared" si="3"/>
        <v>0.096798</v>
      </c>
      <c r="AW183" s="34"/>
      <c r="AX183" s="32">
        <f>30.25/500</f>
        <v>0.0605</v>
      </c>
      <c r="AY183" s="46" t="s">
        <v>1319</v>
      </c>
      <c r="AZ183" s="34"/>
      <c r="BA183" s="30"/>
      <c r="BB183" s="30"/>
      <c r="BC183" s="35"/>
      <c r="BD183" s="32">
        <f>36.94/500</f>
        <v>0.07388</v>
      </c>
      <c r="BE183" s="46" t="s">
        <v>1320</v>
      </c>
      <c r="BF183" s="31"/>
      <c r="BG183" s="30"/>
      <c r="BH183" s="30"/>
      <c r="BI183" s="31"/>
      <c r="BJ183" s="32">
        <f>22.25/250</f>
        <v>0.089</v>
      </c>
      <c r="BK183" s="39" t="s">
        <v>1321</v>
      </c>
      <c r="BL183" s="30"/>
      <c r="BM183" s="30"/>
    </row>
    <row r="184">
      <c r="A184" s="18" t="s">
        <v>25</v>
      </c>
      <c r="B184" s="18" t="s">
        <v>1322</v>
      </c>
      <c r="C184" s="19" t="s">
        <v>1323</v>
      </c>
      <c r="D184" s="19" t="s">
        <v>67</v>
      </c>
      <c r="E184" s="19" t="s">
        <v>68</v>
      </c>
      <c r="F184" s="20">
        <v>504.0</v>
      </c>
      <c r="G184" s="21">
        <v>504.0</v>
      </c>
      <c r="H184" s="21">
        <v>0.0</v>
      </c>
      <c r="I184" s="21">
        <v>0.0</v>
      </c>
      <c r="J184" s="45"/>
      <c r="K184" s="23">
        <v>0.07</v>
      </c>
      <c r="L184" s="24">
        <v>183.0</v>
      </c>
      <c r="M184" s="25" t="s">
        <v>69</v>
      </c>
      <c r="N184" s="25" t="s">
        <v>70</v>
      </c>
      <c r="O184" s="25">
        <v>2.1000000389E10</v>
      </c>
      <c r="P184" s="26" t="s">
        <v>1324</v>
      </c>
      <c r="Q184" s="27" t="s">
        <v>1325</v>
      </c>
      <c r="R184" s="28" t="s">
        <v>79</v>
      </c>
      <c r="S184" s="29">
        <f t="shared" si="1"/>
        <v>1000</v>
      </c>
      <c r="T184" s="30"/>
      <c r="U184" s="30"/>
      <c r="V184" s="30"/>
      <c r="W184" s="30"/>
      <c r="X184" s="30"/>
      <c r="Y184" s="30"/>
      <c r="Z184" s="28">
        <v>1000.0</v>
      </c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1"/>
      <c r="AT184" s="38" t="s">
        <v>81</v>
      </c>
      <c r="AU184" s="32">
        <f t="shared" si="2"/>
        <v>0.06693333333</v>
      </c>
      <c r="AV184" s="33">
        <f t="shared" si="3"/>
        <v>0.08701333333</v>
      </c>
      <c r="AW184" s="34"/>
      <c r="AX184" s="42">
        <f>32.4/500</f>
        <v>0.0648</v>
      </c>
      <c r="AY184" s="46" t="s">
        <v>1326</v>
      </c>
      <c r="AZ184" s="34"/>
      <c r="BA184" s="30"/>
      <c r="BB184" s="30"/>
      <c r="BC184" s="35"/>
      <c r="BD184" s="32">
        <f> 36/500</f>
        <v>0.072</v>
      </c>
      <c r="BE184" s="46" t="s">
        <v>1327</v>
      </c>
      <c r="BF184" s="31"/>
      <c r="BG184" s="30"/>
      <c r="BH184" s="30"/>
      <c r="BI184" s="31"/>
      <c r="BJ184" s="32">
        <f>64/1000</f>
        <v>0.064</v>
      </c>
      <c r="BK184" s="46" t="s">
        <v>1328</v>
      </c>
      <c r="BL184" s="30"/>
      <c r="BM184" s="30"/>
    </row>
    <row r="185">
      <c r="A185" s="18" t="s">
        <v>21</v>
      </c>
      <c r="B185" s="18" t="s">
        <v>1329</v>
      </c>
      <c r="C185" s="19" t="s">
        <v>1330</v>
      </c>
      <c r="D185" s="19" t="s">
        <v>67</v>
      </c>
      <c r="E185" s="19" t="s">
        <v>68</v>
      </c>
      <c r="F185" s="20">
        <v>1.0</v>
      </c>
      <c r="G185" s="21">
        <v>1.0</v>
      </c>
      <c r="H185" s="21">
        <v>74.31</v>
      </c>
      <c r="I185" s="21">
        <v>74.31</v>
      </c>
      <c r="J185" s="45"/>
      <c r="K185" s="23">
        <v>72.18</v>
      </c>
      <c r="L185" s="24">
        <v>184.0</v>
      </c>
      <c r="M185" s="25" t="s">
        <v>69</v>
      </c>
      <c r="N185" s="25" t="s">
        <v>70</v>
      </c>
      <c r="O185" s="25">
        <v>2.1000000132E10</v>
      </c>
      <c r="P185" s="26" t="s">
        <v>1331</v>
      </c>
      <c r="Q185" s="27" t="s">
        <v>1332</v>
      </c>
      <c r="R185" s="28" t="s">
        <v>1113</v>
      </c>
      <c r="S185" s="29">
        <f t="shared" si="1"/>
        <v>1</v>
      </c>
      <c r="T185" s="30"/>
      <c r="U185" s="30"/>
      <c r="V185" s="29">
        <v>1.0</v>
      </c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1"/>
      <c r="AT185" s="38" t="s">
        <v>81</v>
      </c>
      <c r="AU185" s="32">
        <f t="shared" si="2"/>
        <v>77.67333333</v>
      </c>
      <c r="AV185" s="33">
        <f t="shared" si="3"/>
        <v>100.9753333</v>
      </c>
      <c r="AW185" s="34"/>
      <c r="AX185" s="42">
        <v>79.26</v>
      </c>
      <c r="AY185" s="46" t="s">
        <v>1333</v>
      </c>
      <c r="AZ185" s="34"/>
      <c r="BA185" s="30"/>
      <c r="BB185" s="30"/>
      <c r="BC185" s="35"/>
      <c r="BD185" s="42">
        <v>78.46</v>
      </c>
      <c r="BE185" s="46" t="s">
        <v>1334</v>
      </c>
      <c r="BF185" s="31"/>
      <c r="BG185" s="30"/>
      <c r="BH185" s="30"/>
      <c r="BI185" s="31"/>
      <c r="BJ185" s="42">
        <v>75.3</v>
      </c>
      <c r="BK185" s="46" t="s">
        <v>1335</v>
      </c>
      <c r="BL185" s="30"/>
      <c r="BM185" s="30"/>
    </row>
    <row r="186">
      <c r="A186" s="18" t="s">
        <v>21</v>
      </c>
      <c r="B186" s="18" t="s">
        <v>1336</v>
      </c>
      <c r="C186" s="19" t="s">
        <v>1337</v>
      </c>
      <c r="D186" s="19" t="s">
        <v>67</v>
      </c>
      <c r="E186" s="19" t="s">
        <v>68</v>
      </c>
      <c r="F186" s="20">
        <v>1.0</v>
      </c>
      <c r="G186" s="21">
        <v>1.0</v>
      </c>
      <c r="H186" s="21">
        <v>26.73</v>
      </c>
      <c r="I186" s="21">
        <v>26.73</v>
      </c>
      <c r="J186" s="45"/>
      <c r="K186" s="23">
        <v>22.59</v>
      </c>
      <c r="L186" s="24">
        <v>185.0</v>
      </c>
      <c r="M186" s="25" t="s">
        <v>69</v>
      </c>
      <c r="N186" s="25" t="s">
        <v>70</v>
      </c>
      <c r="O186" s="25">
        <v>2.1000000133E10</v>
      </c>
      <c r="P186" s="26" t="s">
        <v>1338</v>
      </c>
      <c r="Q186" s="27" t="s">
        <v>1339</v>
      </c>
      <c r="R186" s="28" t="s">
        <v>1113</v>
      </c>
      <c r="S186" s="29">
        <f t="shared" si="1"/>
        <v>1</v>
      </c>
      <c r="T186" s="30"/>
      <c r="U186" s="30"/>
      <c r="V186" s="29">
        <v>1.0</v>
      </c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1"/>
      <c r="AT186" s="38" t="s">
        <v>81</v>
      </c>
      <c r="AU186" s="32" t="str">
        <f t="shared" si="2"/>
        <v>#DIV/0!</v>
      </c>
      <c r="AV186" s="33" t="str">
        <f t="shared" si="3"/>
        <v>#DIV/0!</v>
      </c>
      <c r="AW186" s="34"/>
      <c r="AX186" s="32"/>
      <c r="AY186" s="31"/>
      <c r="AZ186" s="34"/>
      <c r="BA186" s="30"/>
      <c r="BB186" s="30"/>
      <c r="BC186" s="35"/>
      <c r="BD186" s="32"/>
      <c r="BE186" s="31"/>
      <c r="BF186" s="31"/>
      <c r="BG186" s="30"/>
      <c r="BH186" s="30"/>
      <c r="BI186" s="31"/>
      <c r="BJ186" s="32"/>
      <c r="BK186" s="31"/>
      <c r="BL186" s="30"/>
      <c r="BM186" s="30"/>
    </row>
    <row r="187">
      <c r="A187" s="18" t="s">
        <v>36</v>
      </c>
      <c r="B187" s="18" t="s">
        <v>1340</v>
      </c>
      <c r="C187" s="19" t="s">
        <v>1341</v>
      </c>
      <c r="D187" s="19" t="s">
        <v>67</v>
      </c>
      <c r="E187" s="19" t="s">
        <v>68</v>
      </c>
      <c r="F187" s="20">
        <v>600.0</v>
      </c>
      <c r="G187" s="21">
        <v>600.0</v>
      </c>
      <c r="H187" s="21">
        <v>57.72</v>
      </c>
      <c r="I187" s="21">
        <v>34632.0</v>
      </c>
      <c r="J187" s="45"/>
      <c r="K187" s="23">
        <v>34.94</v>
      </c>
      <c r="L187" s="24">
        <v>186.0</v>
      </c>
      <c r="M187" s="25" t="s">
        <v>69</v>
      </c>
      <c r="N187" s="25" t="s">
        <v>70</v>
      </c>
      <c r="O187" s="25">
        <v>2.100000052E10</v>
      </c>
      <c r="P187" s="26" t="s">
        <v>1342</v>
      </c>
      <c r="Q187" s="27" t="s">
        <v>1343</v>
      </c>
      <c r="R187" s="28" t="s">
        <v>124</v>
      </c>
      <c r="S187" s="29">
        <f t="shared" si="1"/>
        <v>630</v>
      </c>
      <c r="T187" s="30"/>
      <c r="U187" s="30"/>
      <c r="V187" s="38">
        <v>3.0</v>
      </c>
      <c r="W187" s="30"/>
      <c r="X187" s="30"/>
      <c r="Y187" s="38">
        <v>6.0</v>
      </c>
      <c r="Z187" s="38">
        <f>1+6+1</f>
        <v>8</v>
      </c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29">
        <v>600.0</v>
      </c>
      <c r="AL187" s="38">
        <v>12.0</v>
      </c>
      <c r="AM187" s="30"/>
      <c r="AN187" s="30"/>
      <c r="AO187" s="30"/>
      <c r="AP187" s="38">
        <v>1.0</v>
      </c>
      <c r="AQ187" s="30"/>
      <c r="AR187" s="30"/>
      <c r="AS187" s="31"/>
      <c r="AT187" s="38" t="s">
        <v>678</v>
      </c>
      <c r="AU187" s="32">
        <f t="shared" si="2"/>
        <v>47.65666667</v>
      </c>
      <c r="AV187" s="33">
        <f t="shared" si="3"/>
        <v>61.95366667</v>
      </c>
      <c r="AW187" s="34"/>
      <c r="AX187" s="42">
        <v>52.41</v>
      </c>
      <c r="AY187" s="46" t="s">
        <v>1344</v>
      </c>
      <c r="AZ187" s="34"/>
      <c r="BA187" s="30"/>
      <c r="BB187" s="30"/>
      <c r="BC187" s="35"/>
      <c r="BD187" s="42">
        <v>45.58</v>
      </c>
      <c r="BE187" s="46" t="s">
        <v>1345</v>
      </c>
      <c r="BF187" s="31"/>
      <c r="BG187" s="30"/>
      <c r="BH187" s="30"/>
      <c r="BI187" s="31"/>
      <c r="BJ187" s="42">
        <v>44.98</v>
      </c>
      <c r="BK187" s="46" t="s">
        <v>1346</v>
      </c>
      <c r="BL187" s="30"/>
      <c r="BM187" s="30"/>
    </row>
    <row r="188">
      <c r="A188" s="18" t="s">
        <v>41</v>
      </c>
      <c r="B188" s="18" t="s">
        <v>1347</v>
      </c>
      <c r="C188" s="19" t="s">
        <v>1348</v>
      </c>
      <c r="D188" s="19" t="s">
        <v>67</v>
      </c>
      <c r="E188" s="19" t="s">
        <v>68</v>
      </c>
      <c r="F188" s="20">
        <v>500.0</v>
      </c>
      <c r="G188" s="21">
        <v>500.0</v>
      </c>
      <c r="H188" s="21">
        <v>0.04</v>
      </c>
      <c r="I188" s="21">
        <v>20.0</v>
      </c>
      <c r="J188" s="45"/>
      <c r="K188" s="23">
        <v>0.06</v>
      </c>
      <c r="L188" s="24">
        <v>187.0</v>
      </c>
      <c r="M188" s="25" t="s">
        <v>69</v>
      </c>
      <c r="N188" s="25" t="s">
        <v>70</v>
      </c>
      <c r="O188" s="25">
        <v>2.1000000138E10</v>
      </c>
      <c r="P188" s="26" t="s">
        <v>1349</v>
      </c>
      <c r="Q188" s="27" t="s">
        <v>1350</v>
      </c>
      <c r="R188" s="28" t="s">
        <v>79</v>
      </c>
      <c r="S188" s="29">
        <f t="shared" si="1"/>
        <v>14000</v>
      </c>
      <c r="T188" s="30"/>
      <c r="U188" s="30"/>
      <c r="V188" s="38">
        <v>1000.0</v>
      </c>
      <c r="W188" s="38">
        <v>500.0</v>
      </c>
      <c r="X188" s="30"/>
      <c r="Y188" s="38">
        <f>3000+3000</f>
        <v>6000</v>
      </c>
      <c r="Z188" s="38">
        <v>6000.0</v>
      </c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29">
        <v>500.0</v>
      </c>
      <c r="AQ188" s="30"/>
      <c r="AR188" s="30"/>
      <c r="AS188" s="31"/>
      <c r="AT188" s="38" t="s">
        <v>678</v>
      </c>
      <c r="AU188" s="32">
        <f t="shared" si="2"/>
        <v>0.05474</v>
      </c>
      <c r="AV188" s="33">
        <f t="shared" si="3"/>
        <v>0.071162</v>
      </c>
      <c r="AW188" s="34"/>
      <c r="AX188" s="32">
        <f>24.3/500</f>
        <v>0.0486</v>
      </c>
      <c r="AY188" s="46" t="s">
        <v>1351</v>
      </c>
      <c r="AZ188" s="34"/>
      <c r="BA188" s="30"/>
      <c r="BB188" s="30"/>
      <c r="BC188" s="35"/>
      <c r="BD188" s="32">
        <f>33.82/500</f>
        <v>0.06764</v>
      </c>
      <c r="BE188" s="46" t="s">
        <v>1352</v>
      </c>
      <c r="BF188" s="31"/>
      <c r="BG188" s="30"/>
      <c r="BH188" s="30"/>
      <c r="BI188" s="31"/>
      <c r="BJ188" s="32">
        <f>23.99/500</f>
        <v>0.04798</v>
      </c>
      <c r="BK188" s="46" t="s">
        <v>1353</v>
      </c>
      <c r="BL188" s="30"/>
      <c r="BM188" s="30"/>
    </row>
    <row r="189">
      <c r="A189" s="18" t="s">
        <v>40</v>
      </c>
      <c r="B189" s="18" t="s">
        <v>1354</v>
      </c>
      <c r="C189" s="19" t="s">
        <v>1355</v>
      </c>
      <c r="D189" s="19" t="s">
        <v>67</v>
      </c>
      <c r="E189" s="19" t="s">
        <v>68</v>
      </c>
      <c r="F189" s="20">
        <v>1.0</v>
      </c>
      <c r="G189" s="21">
        <v>1.0</v>
      </c>
      <c r="H189" s="21">
        <v>210.0</v>
      </c>
      <c r="I189" s="21">
        <v>210.0</v>
      </c>
      <c r="J189" s="45"/>
      <c r="K189" s="23">
        <v>979.06</v>
      </c>
      <c r="L189" s="24">
        <v>188.0</v>
      </c>
      <c r="M189" s="25" t="s">
        <v>69</v>
      </c>
      <c r="N189" s="25" t="s">
        <v>70</v>
      </c>
      <c r="O189" s="25">
        <v>2.1000000126E10</v>
      </c>
      <c r="P189" s="26" t="s">
        <v>1356</v>
      </c>
      <c r="Q189" s="27" t="s">
        <v>1357</v>
      </c>
      <c r="R189" s="28" t="s">
        <v>1113</v>
      </c>
      <c r="S189" s="29">
        <f t="shared" si="1"/>
        <v>1</v>
      </c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29">
        <v>1.0</v>
      </c>
      <c r="AP189" s="30"/>
      <c r="AQ189" s="30"/>
      <c r="AR189" s="30"/>
      <c r="AS189" s="31"/>
      <c r="AT189" s="38" t="s">
        <v>678</v>
      </c>
      <c r="AU189" s="32">
        <f t="shared" si="2"/>
        <v>864.73</v>
      </c>
      <c r="AV189" s="33">
        <f t="shared" si="3"/>
        <v>1124.149</v>
      </c>
      <c r="AW189" s="34"/>
      <c r="AX189" s="32">
        <f>826.4</f>
        <v>826.4</v>
      </c>
      <c r="AY189" s="46" t="s">
        <v>1358</v>
      </c>
      <c r="AZ189" s="34"/>
      <c r="BA189" s="30"/>
      <c r="BB189" s="30"/>
      <c r="BC189" s="35"/>
      <c r="BD189" s="32">
        <f>717.02</f>
        <v>717.02</v>
      </c>
      <c r="BE189" s="46" t="s">
        <v>1359</v>
      </c>
      <c r="BF189" s="31"/>
      <c r="BG189" s="30"/>
      <c r="BH189" s="30"/>
      <c r="BI189" s="31"/>
      <c r="BJ189" s="32">
        <f>1050.77</f>
        <v>1050.77</v>
      </c>
      <c r="BK189" s="46" t="s">
        <v>1360</v>
      </c>
      <c r="BL189" s="30"/>
      <c r="BM189" s="30"/>
    </row>
    <row r="190">
      <c r="A190" s="18" t="s">
        <v>28</v>
      </c>
      <c r="B190" s="18" t="s">
        <v>1361</v>
      </c>
      <c r="C190" s="19" t="s">
        <v>1362</v>
      </c>
      <c r="D190" s="19" t="s">
        <v>67</v>
      </c>
      <c r="E190" s="19" t="s">
        <v>68</v>
      </c>
      <c r="F190" s="20">
        <v>2.0</v>
      </c>
      <c r="G190" s="21">
        <v>1.0</v>
      </c>
      <c r="H190" s="21">
        <v>180.9</v>
      </c>
      <c r="I190" s="21">
        <v>180.9</v>
      </c>
      <c r="J190" s="45"/>
      <c r="K190" s="23">
        <v>406.74</v>
      </c>
      <c r="L190" s="24">
        <v>189.0</v>
      </c>
      <c r="M190" s="25" t="s">
        <v>69</v>
      </c>
      <c r="N190" s="25" t="s">
        <v>70</v>
      </c>
      <c r="O190" s="25">
        <v>2.1000000513E10</v>
      </c>
      <c r="P190" s="26" t="s">
        <v>1363</v>
      </c>
      <c r="Q190" s="27" t="s">
        <v>1364</v>
      </c>
      <c r="R190" s="28" t="s">
        <v>1113</v>
      </c>
      <c r="S190" s="29">
        <f t="shared" si="1"/>
        <v>4</v>
      </c>
      <c r="T190" s="30"/>
      <c r="U190" s="30"/>
      <c r="V190" s="30"/>
      <c r="W190" s="30"/>
      <c r="X190" s="30"/>
      <c r="Y190" s="30"/>
      <c r="Z190" s="30"/>
      <c r="AA190" s="30"/>
      <c r="AB190" s="30"/>
      <c r="AC190" s="29">
        <f>1+2</f>
        <v>3</v>
      </c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8">
        <v>1.0</v>
      </c>
      <c r="AP190" s="30"/>
      <c r="AQ190" s="30"/>
      <c r="AR190" s="30"/>
      <c r="AS190" s="31"/>
      <c r="AT190" s="38" t="s">
        <v>678</v>
      </c>
      <c r="AU190" s="32">
        <f t="shared" si="2"/>
        <v>284.1233333</v>
      </c>
      <c r="AV190" s="33">
        <f t="shared" si="3"/>
        <v>369.3603333</v>
      </c>
      <c r="AW190" s="34"/>
      <c r="AX190" s="42">
        <v>263.07</v>
      </c>
      <c r="AY190" s="46" t="s">
        <v>1365</v>
      </c>
      <c r="AZ190" s="34"/>
      <c r="BA190" s="30"/>
      <c r="BB190" s="30"/>
      <c r="BC190" s="35"/>
      <c r="BD190" s="42">
        <v>252.0</v>
      </c>
      <c r="BE190" s="46" t="s">
        <v>1366</v>
      </c>
      <c r="BF190" s="31"/>
      <c r="BG190" s="30"/>
      <c r="BH190" s="30"/>
      <c r="BI190" s="31"/>
      <c r="BJ190" s="42">
        <v>337.3</v>
      </c>
      <c r="BK190" s="46" t="s">
        <v>1367</v>
      </c>
      <c r="BL190" s="30"/>
      <c r="BM190" s="30"/>
    </row>
    <row r="191">
      <c r="A191" s="18" t="s">
        <v>24</v>
      </c>
      <c r="B191" s="18" t="s">
        <v>1368</v>
      </c>
      <c r="C191" s="19" t="s">
        <v>1369</v>
      </c>
      <c r="D191" s="19" t="s">
        <v>67</v>
      </c>
      <c r="E191" s="19" t="s">
        <v>68</v>
      </c>
      <c r="F191" s="20">
        <v>2.0</v>
      </c>
      <c r="G191" s="21">
        <v>2.0</v>
      </c>
      <c r="H191" s="21">
        <v>75.0</v>
      </c>
      <c r="I191" s="21">
        <v>150.0</v>
      </c>
      <c r="J191" s="45"/>
      <c r="K191" s="23">
        <v>0.11</v>
      </c>
      <c r="L191" s="24">
        <v>190.0</v>
      </c>
      <c r="M191" s="25" t="s">
        <v>69</v>
      </c>
      <c r="N191" s="25" t="s">
        <v>70</v>
      </c>
      <c r="O191" s="25">
        <v>2.1000000321E10</v>
      </c>
      <c r="P191" s="26" t="s">
        <v>1370</v>
      </c>
      <c r="Q191" s="27" t="s">
        <v>1371</v>
      </c>
      <c r="R191" s="28" t="s">
        <v>79</v>
      </c>
      <c r="S191" s="29">
        <f t="shared" si="1"/>
        <v>1000</v>
      </c>
      <c r="T191" s="30"/>
      <c r="U191" s="30"/>
      <c r="V191" s="30"/>
      <c r="W191" s="30"/>
      <c r="X191" s="30"/>
      <c r="Y191" s="28">
        <v>1000.0</v>
      </c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1"/>
      <c r="AT191" s="38" t="s">
        <v>678</v>
      </c>
      <c r="AU191" s="32">
        <f t="shared" si="2"/>
        <v>0.09172</v>
      </c>
      <c r="AV191" s="33">
        <f t="shared" si="3"/>
        <v>0.119236</v>
      </c>
      <c r="AW191" s="34"/>
      <c r="AX191" s="32">
        <f>56.82/500</f>
        <v>0.11364</v>
      </c>
      <c r="AY191" s="39" t="s">
        <v>1372</v>
      </c>
      <c r="AZ191" s="34"/>
      <c r="BA191" s="30"/>
      <c r="BB191" s="30"/>
      <c r="BC191" s="35"/>
      <c r="BD191" s="42">
        <f>37.76/500</f>
        <v>0.07552</v>
      </c>
      <c r="BE191" s="46" t="s">
        <v>1373</v>
      </c>
      <c r="BF191" s="31"/>
      <c r="BG191" s="30"/>
      <c r="BH191" s="30"/>
      <c r="BI191" s="31"/>
      <c r="BJ191" s="32">
        <f>43/500</f>
        <v>0.086</v>
      </c>
      <c r="BK191" s="46" t="s">
        <v>1374</v>
      </c>
      <c r="BL191" s="30"/>
      <c r="BM191" s="30"/>
    </row>
    <row r="192">
      <c r="A192" s="18" t="s">
        <v>27</v>
      </c>
      <c r="B192" s="18" t="s">
        <v>1375</v>
      </c>
      <c r="C192" s="19" t="s">
        <v>1376</v>
      </c>
      <c r="D192" s="19" t="s">
        <v>67</v>
      </c>
      <c r="E192" s="19" t="s">
        <v>68</v>
      </c>
      <c r="F192" s="20">
        <v>10.0</v>
      </c>
      <c r="G192" s="21">
        <v>10.0</v>
      </c>
      <c r="H192" s="21">
        <v>100.0</v>
      </c>
      <c r="I192" s="21">
        <v>1000.0</v>
      </c>
      <c r="J192" s="45"/>
      <c r="K192" s="23">
        <v>273.0</v>
      </c>
      <c r="L192" s="24">
        <v>191.0</v>
      </c>
      <c r="M192" s="25" t="s">
        <v>69</v>
      </c>
      <c r="N192" s="25" t="s">
        <v>70</v>
      </c>
      <c r="O192" s="25">
        <v>2.100000019E10</v>
      </c>
      <c r="P192" s="26" t="s">
        <v>1377</v>
      </c>
      <c r="Q192" s="27" t="s">
        <v>1378</v>
      </c>
      <c r="R192" s="28" t="s">
        <v>124</v>
      </c>
      <c r="S192" s="29">
        <f t="shared" si="1"/>
        <v>17</v>
      </c>
      <c r="T192" s="30"/>
      <c r="U192" s="30"/>
      <c r="V192" s="30"/>
      <c r="W192" s="30"/>
      <c r="X192" s="30"/>
      <c r="Y192" s="30"/>
      <c r="Z192" s="38">
        <v>7.0</v>
      </c>
      <c r="AA192" s="30"/>
      <c r="AB192" s="29">
        <v>10.0</v>
      </c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1"/>
      <c r="AT192" s="38" t="s">
        <v>678</v>
      </c>
      <c r="AU192" s="32">
        <f t="shared" si="2"/>
        <v>246.995</v>
      </c>
      <c r="AV192" s="33">
        <f t="shared" si="3"/>
        <v>321.0935</v>
      </c>
      <c r="AW192" s="34"/>
      <c r="AX192" s="42">
        <v>179.94</v>
      </c>
      <c r="AY192" s="46" t="s">
        <v>1379</v>
      </c>
      <c r="AZ192" s="34"/>
      <c r="BA192" s="30"/>
      <c r="BB192" s="30"/>
      <c r="BC192" s="35"/>
      <c r="BD192" s="42">
        <v>314.05</v>
      </c>
      <c r="BE192" s="46" t="s">
        <v>1380</v>
      </c>
      <c r="BF192" s="31"/>
      <c r="BG192" s="30"/>
      <c r="BH192" s="30"/>
      <c r="BI192" s="31"/>
      <c r="BJ192" s="42"/>
      <c r="BK192" s="49"/>
      <c r="BL192" s="30"/>
      <c r="BM192" s="30"/>
    </row>
    <row r="193">
      <c r="A193" s="18" t="s">
        <v>25</v>
      </c>
      <c r="B193" s="18" t="s">
        <v>1381</v>
      </c>
      <c r="C193" s="19" t="s">
        <v>1382</v>
      </c>
      <c r="D193" s="19" t="s">
        <v>67</v>
      </c>
      <c r="E193" s="19" t="s">
        <v>68</v>
      </c>
      <c r="F193" s="20">
        <v>2.0</v>
      </c>
      <c r="G193" s="21">
        <v>2.0</v>
      </c>
      <c r="H193" s="21">
        <v>47.0</v>
      </c>
      <c r="I193" s="21">
        <v>94.0</v>
      </c>
      <c r="J193" s="45"/>
      <c r="K193" s="23">
        <v>220.28</v>
      </c>
      <c r="L193" s="24">
        <v>192.0</v>
      </c>
      <c r="M193" s="25" t="s">
        <v>69</v>
      </c>
      <c r="N193" s="25" t="s">
        <v>70</v>
      </c>
      <c r="O193" s="25">
        <v>2.1000000191E10</v>
      </c>
      <c r="P193" s="26" t="s">
        <v>1383</v>
      </c>
      <c r="Q193" s="27" t="s">
        <v>1384</v>
      </c>
      <c r="R193" s="28" t="s">
        <v>124</v>
      </c>
      <c r="S193" s="29">
        <f t="shared" si="1"/>
        <v>31</v>
      </c>
      <c r="T193" s="30"/>
      <c r="U193" s="30"/>
      <c r="V193" s="30"/>
      <c r="W193" s="30"/>
      <c r="X193" s="30"/>
      <c r="Y193" s="30"/>
      <c r="Z193" s="29">
        <f>2+24</f>
        <v>26</v>
      </c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8">
        <v>5.0</v>
      </c>
      <c r="AR193" s="30"/>
      <c r="AS193" s="31"/>
      <c r="AT193" s="38" t="s">
        <v>678</v>
      </c>
      <c r="AU193" s="32">
        <f t="shared" si="2"/>
        <v>186.9266667</v>
      </c>
      <c r="AV193" s="33">
        <f t="shared" si="3"/>
        <v>243.0046667</v>
      </c>
      <c r="AW193" s="34"/>
      <c r="AX193" s="42">
        <v>196.8</v>
      </c>
      <c r="AY193" s="46" t="s">
        <v>1385</v>
      </c>
      <c r="AZ193" s="34"/>
      <c r="BA193" s="30"/>
      <c r="BB193" s="30"/>
      <c r="BC193" s="35"/>
      <c r="BD193" s="42">
        <v>164.56</v>
      </c>
      <c r="BE193" s="46" t="s">
        <v>1386</v>
      </c>
      <c r="BF193" s="31"/>
      <c r="BG193" s="30"/>
      <c r="BH193" s="30"/>
      <c r="BI193" s="31"/>
      <c r="BJ193" s="42">
        <v>199.42</v>
      </c>
      <c r="BK193" s="46" t="s">
        <v>1387</v>
      </c>
      <c r="BL193" s="30"/>
      <c r="BM193" s="30"/>
    </row>
    <row r="194">
      <c r="A194" s="18" t="s">
        <v>25</v>
      </c>
      <c r="B194" s="18" t="s">
        <v>1388</v>
      </c>
      <c r="C194" s="19" t="s">
        <v>1389</v>
      </c>
      <c r="D194" s="19" t="s">
        <v>67</v>
      </c>
      <c r="E194" s="19" t="s">
        <v>68</v>
      </c>
      <c r="F194" s="20">
        <v>500.0</v>
      </c>
      <c r="G194" s="21">
        <v>1.0</v>
      </c>
      <c r="H194" s="21">
        <v>0.0</v>
      </c>
      <c r="I194" s="21">
        <v>0.0</v>
      </c>
      <c r="J194" s="45"/>
      <c r="K194" s="23">
        <v>0.4</v>
      </c>
      <c r="L194" s="24">
        <v>193.0</v>
      </c>
      <c r="M194" s="25" t="s">
        <v>69</v>
      </c>
      <c r="N194" s="25" t="s">
        <v>70</v>
      </c>
      <c r="O194" s="25">
        <v>2.1000000192E10</v>
      </c>
      <c r="P194" s="26" t="s">
        <v>1390</v>
      </c>
      <c r="Q194" s="27" t="s">
        <v>1391</v>
      </c>
      <c r="R194" s="28" t="s">
        <v>79</v>
      </c>
      <c r="S194" s="29">
        <f t="shared" si="1"/>
        <v>500</v>
      </c>
      <c r="T194" s="30"/>
      <c r="U194" s="30"/>
      <c r="V194" s="30"/>
      <c r="W194" s="30"/>
      <c r="X194" s="30"/>
      <c r="Y194" s="30"/>
      <c r="Z194" s="28">
        <v>500.0</v>
      </c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1"/>
      <c r="AT194" s="38" t="s">
        <v>678</v>
      </c>
      <c r="AU194" s="32">
        <f t="shared" si="2"/>
        <v>0.3455133333</v>
      </c>
      <c r="AV194" s="33">
        <f t="shared" si="3"/>
        <v>0.4491673333</v>
      </c>
      <c r="AW194" s="34"/>
      <c r="AX194" s="42">
        <f>174.09/500</f>
        <v>0.34818</v>
      </c>
      <c r="AY194" s="46" t="s">
        <v>1392</v>
      </c>
      <c r="AZ194" s="34"/>
      <c r="BA194" s="30"/>
      <c r="BB194" s="30"/>
      <c r="BC194" s="35"/>
      <c r="BD194" s="42">
        <f>162.18/500</f>
        <v>0.32436</v>
      </c>
      <c r="BE194" s="39" t="s">
        <v>1393</v>
      </c>
      <c r="BF194" s="31"/>
      <c r="BG194" s="30"/>
      <c r="BH194" s="30"/>
      <c r="BI194" s="31"/>
      <c r="BJ194" s="42">
        <f>182/500</f>
        <v>0.364</v>
      </c>
      <c r="BK194" s="46" t="s">
        <v>1394</v>
      </c>
      <c r="BL194" s="30"/>
      <c r="BM194" s="30"/>
    </row>
    <row r="195">
      <c r="A195" s="18" t="s">
        <v>21</v>
      </c>
      <c r="B195" s="18" t="s">
        <v>1395</v>
      </c>
      <c r="C195" s="19" t="s">
        <v>1396</v>
      </c>
      <c r="D195" s="19" t="s">
        <v>67</v>
      </c>
      <c r="E195" s="19" t="s">
        <v>68</v>
      </c>
      <c r="F195" s="20">
        <v>1.0</v>
      </c>
      <c r="G195" s="21">
        <v>1.0</v>
      </c>
      <c r="H195" s="21">
        <v>29.18</v>
      </c>
      <c r="I195" s="21">
        <v>29.18</v>
      </c>
      <c r="J195" s="45"/>
      <c r="K195" s="23">
        <v>34.53</v>
      </c>
      <c r="L195" s="24">
        <v>194.0</v>
      </c>
      <c r="M195" s="25" t="s">
        <v>69</v>
      </c>
      <c r="N195" s="25" t="s">
        <v>70</v>
      </c>
      <c r="O195" s="25">
        <v>2.1000000193E10</v>
      </c>
      <c r="P195" s="26" t="s">
        <v>1397</v>
      </c>
      <c r="Q195" s="27" t="s">
        <v>1398</v>
      </c>
      <c r="R195" s="28" t="s">
        <v>124</v>
      </c>
      <c r="S195" s="29">
        <f t="shared" si="1"/>
        <v>2</v>
      </c>
      <c r="T195" s="30"/>
      <c r="U195" s="30"/>
      <c r="V195" s="29">
        <v>1.0</v>
      </c>
      <c r="W195" s="30"/>
      <c r="X195" s="30"/>
      <c r="Y195" s="30"/>
      <c r="Z195" s="38">
        <v>1.0</v>
      </c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1"/>
      <c r="AT195" s="38" t="s">
        <v>678</v>
      </c>
      <c r="AU195" s="32">
        <f t="shared" si="2"/>
        <v>33.56333333</v>
      </c>
      <c r="AV195" s="33">
        <f t="shared" si="3"/>
        <v>43.63233333</v>
      </c>
      <c r="AW195" s="34"/>
      <c r="AX195" s="42">
        <v>29.17</v>
      </c>
      <c r="AY195" s="46" t="s">
        <v>1399</v>
      </c>
      <c r="AZ195" s="34"/>
      <c r="BA195" s="30"/>
      <c r="BB195" s="30"/>
      <c r="BC195" s="35"/>
      <c r="BD195" s="42">
        <v>38.09</v>
      </c>
      <c r="BE195" s="46" t="s">
        <v>1400</v>
      </c>
      <c r="BF195" s="31"/>
      <c r="BG195" s="30"/>
      <c r="BH195" s="30"/>
      <c r="BI195" s="31"/>
      <c r="BJ195" s="42">
        <v>33.43</v>
      </c>
      <c r="BK195" s="46" t="s">
        <v>1401</v>
      </c>
      <c r="BL195" s="30"/>
      <c r="BM195" s="30"/>
    </row>
    <row r="196">
      <c r="A196" s="18" t="s">
        <v>31</v>
      </c>
      <c r="B196" s="18" t="s">
        <v>1402</v>
      </c>
      <c r="C196" s="19" t="s">
        <v>1403</v>
      </c>
      <c r="D196" s="19" t="s">
        <v>535</v>
      </c>
      <c r="E196" s="19" t="s">
        <v>68</v>
      </c>
      <c r="F196" s="20">
        <v>6.0</v>
      </c>
      <c r="G196" s="21">
        <v>12.0</v>
      </c>
      <c r="H196" s="21">
        <v>8.0</v>
      </c>
      <c r="I196" s="21"/>
      <c r="J196" s="45"/>
      <c r="K196" s="23">
        <v>0.07</v>
      </c>
      <c r="L196" s="24">
        <v>195.0</v>
      </c>
      <c r="M196" s="25" t="s">
        <v>69</v>
      </c>
      <c r="N196" s="25" t="s">
        <v>70</v>
      </c>
      <c r="O196" s="25">
        <v>2.1000000195E10</v>
      </c>
      <c r="P196" s="26" t="s">
        <v>1404</v>
      </c>
      <c r="Q196" s="27" t="s">
        <v>1405</v>
      </c>
      <c r="R196" s="28" t="s">
        <v>79</v>
      </c>
      <c r="S196" s="29">
        <f t="shared" si="1"/>
        <v>13500</v>
      </c>
      <c r="T196" s="30"/>
      <c r="U196" s="30"/>
      <c r="V196" s="30"/>
      <c r="W196" s="30"/>
      <c r="X196" s="30"/>
      <c r="Y196" s="30"/>
      <c r="Z196" s="28">
        <f>5000+2500</f>
        <v>7500</v>
      </c>
      <c r="AA196" s="30"/>
      <c r="AB196" s="30"/>
      <c r="AC196" s="30"/>
      <c r="AD196" s="30"/>
      <c r="AE196" s="30"/>
      <c r="AF196" s="38">
        <v>6000.0</v>
      </c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1"/>
      <c r="AT196" s="38" t="s">
        <v>678</v>
      </c>
      <c r="AU196" s="32">
        <f t="shared" si="2"/>
        <v>0.06913333333</v>
      </c>
      <c r="AV196" s="33">
        <f t="shared" si="3"/>
        <v>0.08987333333</v>
      </c>
      <c r="AW196" s="34"/>
      <c r="AX196" s="32">
        <f>28.04/500</f>
        <v>0.05608</v>
      </c>
      <c r="AY196" s="46" t="s">
        <v>1406</v>
      </c>
      <c r="AZ196" s="34"/>
      <c r="BA196" s="30"/>
      <c r="BB196" s="30"/>
      <c r="BC196" s="35"/>
      <c r="BD196" s="32">
        <f>34.06/500</f>
        <v>0.06812</v>
      </c>
      <c r="BE196" s="46" t="s">
        <v>1407</v>
      </c>
      <c r="BF196" s="31"/>
      <c r="BG196" s="30"/>
      <c r="BH196" s="30"/>
      <c r="BI196" s="31"/>
      <c r="BJ196" s="32">
        <f>41.6/500</f>
        <v>0.0832</v>
      </c>
      <c r="BK196" s="46" t="s">
        <v>1408</v>
      </c>
      <c r="BL196" s="30"/>
      <c r="BM196" s="30"/>
    </row>
    <row r="197">
      <c r="A197" s="18" t="s">
        <v>21</v>
      </c>
      <c r="B197" s="18" t="s">
        <v>1409</v>
      </c>
      <c r="C197" s="19" t="s">
        <v>1410</v>
      </c>
      <c r="D197" s="19" t="s">
        <v>67</v>
      </c>
      <c r="E197" s="19" t="s">
        <v>68</v>
      </c>
      <c r="F197" s="20">
        <v>1.0</v>
      </c>
      <c r="G197" s="21">
        <v>1.0</v>
      </c>
      <c r="H197" s="21">
        <v>52.87</v>
      </c>
      <c r="I197" s="21">
        <v>52.87</v>
      </c>
      <c r="J197" s="45"/>
      <c r="K197" s="23">
        <v>63.27</v>
      </c>
      <c r="L197" s="24">
        <v>196.0</v>
      </c>
      <c r="M197" s="25" t="s">
        <v>69</v>
      </c>
      <c r="N197" s="25" t="s">
        <v>70</v>
      </c>
      <c r="O197" s="25">
        <v>2.1000000196E10</v>
      </c>
      <c r="P197" s="26" t="s">
        <v>1411</v>
      </c>
      <c r="Q197" s="27" t="s">
        <v>1412</v>
      </c>
      <c r="R197" s="28" t="s">
        <v>1413</v>
      </c>
      <c r="S197" s="29">
        <f t="shared" si="1"/>
        <v>6</v>
      </c>
      <c r="T197" s="30"/>
      <c r="U197" s="30"/>
      <c r="V197" s="29">
        <v>1.0</v>
      </c>
      <c r="W197" s="30"/>
      <c r="X197" s="30"/>
      <c r="Y197" s="30"/>
      <c r="Z197" s="38">
        <v>1.0</v>
      </c>
      <c r="AA197" s="30"/>
      <c r="AB197" s="30"/>
      <c r="AC197" s="30"/>
      <c r="AD197" s="30"/>
      <c r="AE197" s="30"/>
      <c r="AF197" s="30"/>
      <c r="AG197" s="30"/>
      <c r="AH197" s="30"/>
      <c r="AI197" s="38">
        <v>1.0</v>
      </c>
      <c r="AJ197" s="30"/>
      <c r="AK197" s="30"/>
      <c r="AL197" s="38">
        <v>3.0</v>
      </c>
      <c r="AM197" s="30"/>
      <c r="AN197" s="30"/>
      <c r="AO197" s="30"/>
      <c r="AP197" s="30"/>
      <c r="AQ197" s="30"/>
      <c r="AR197" s="30"/>
      <c r="AS197" s="31"/>
      <c r="AT197" s="38" t="s">
        <v>678</v>
      </c>
      <c r="AU197" s="32">
        <f t="shared" si="2"/>
        <v>55.90666667</v>
      </c>
      <c r="AV197" s="33">
        <f t="shared" si="3"/>
        <v>72.67866667</v>
      </c>
      <c r="AW197" s="34"/>
      <c r="AX197" s="42">
        <v>59.25</v>
      </c>
      <c r="AY197" s="46" t="s">
        <v>1414</v>
      </c>
      <c r="AZ197" s="34"/>
      <c r="BA197" s="30"/>
      <c r="BB197" s="30"/>
      <c r="BC197" s="35"/>
      <c r="BD197" s="42">
        <v>58.47</v>
      </c>
      <c r="BE197" s="46" t="s">
        <v>1415</v>
      </c>
      <c r="BF197" s="31"/>
      <c r="BG197" s="30"/>
      <c r="BH197" s="30"/>
      <c r="BI197" s="31"/>
      <c r="BJ197" s="42">
        <v>50.0</v>
      </c>
      <c r="BK197" s="46" t="s">
        <v>1416</v>
      </c>
      <c r="BL197" s="30"/>
      <c r="BM197" s="30"/>
    </row>
    <row r="198">
      <c r="A198" s="18" t="s">
        <v>43</v>
      </c>
      <c r="B198" s="18" t="s">
        <v>1417</v>
      </c>
      <c r="C198" s="19" t="s">
        <v>1418</v>
      </c>
      <c r="D198" s="19" t="s">
        <v>67</v>
      </c>
      <c r="E198" s="19" t="s">
        <v>68</v>
      </c>
      <c r="F198" s="20">
        <v>20.0</v>
      </c>
      <c r="G198" s="21">
        <v>20.0</v>
      </c>
      <c r="H198" s="21">
        <v>40.0</v>
      </c>
      <c r="I198" s="21">
        <v>800.0</v>
      </c>
      <c r="J198" s="45"/>
      <c r="K198" s="23">
        <v>55.42</v>
      </c>
      <c r="L198" s="24">
        <v>197.0</v>
      </c>
      <c r="M198" s="25" t="s">
        <v>69</v>
      </c>
      <c r="N198" s="25" t="s">
        <v>70</v>
      </c>
      <c r="O198" s="25">
        <v>2.1000000197E10</v>
      </c>
      <c r="P198" s="26" t="s">
        <v>1419</v>
      </c>
      <c r="Q198" s="27" t="s">
        <v>1420</v>
      </c>
      <c r="R198" s="28" t="s">
        <v>1413</v>
      </c>
      <c r="S198" s="29">
        <f t="shared" si="1"/>
        <v>74</v>
      </c>
      <c r="T198" s="38">
        <v>5.0</v>
      </c>
      <c r="U198" s="38">
        <v>10.0</v>
      </c>
      <c r="V198" s="30"/>
      <c r="W198" s="38">
        <v>2.0</v>
      </c>
      <c r="X198" s="30"/>
      <c r="Y198" s="30"/>
      <c r="Z198" s="38">
        <f>4+3+2</f>
        <v>9</v>
      </c>
      <c r="AA198" s="30"/>
      <c r="AB198" s="38">
        <v>7.0</v>
      </c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8">
        <v>1.0</v>
      </c>
      <c r="AP198" s="30"/>
      <c r="AQ198" s="30"/>
      <c r="AR198" s="29">
        <f>20+20</f>
        <v>40</v>
      </c>
      <c r="AS198" s="49"/>
      <c r="AT198" s="38" t="s">
        <v>678</v>
      </c>
      <c r="AU198" s="32">
        <f t="shared" si="2"/>
        <v>51.66666667</v>
      </c>
      <c r="AV198" s="33">
        <f t="shared" si="3"/>
        <v>67.16666667</v>
      </c>
      <c r="AW198" s="37"/>
      <c r="AX198" s="42">
        <v>53.0</v>
      </c>
      <c r="AY198" s="46" t="s">
        <v>1421</v>
      </c>
      <c r="AZ198" s="37"/>
      <c r="BA198" s="38"/>
      <c r="BB198" s="38"/>
      <c r="BC198" s="41"/>
      <c r="BD198" s="42">
        <v>54.0</v>
      </c>
      <c r="BE198" s="46" t="s">
        <v>1422</v>
      </c>
      <c r="BF198" s="49"/>
      <c r="BG198" s="38"/>
      <c r="BH198" s="38"/>
      <c r="BI198" s="49"/>
      <c r="BJ198" s="42">
        <v>48.0</v>
      </c>
      <c r="BK198" s="46" t="s">
        <v>1423</v>
      </c>
      <c r="BL198" s="38"/>
      <c r="BM198" s="38"/>
    </row>
    <row r="199">
      <c r="A199" s="18" t="s">
        <v>25</v>
      </c>
      <c r="B199" s="18" t="s">
        <v>1424</v>
      </c>
      <c r="C199" s="19" t="s">
        <v>1425</v>
      </c>
      <c r="D199" s="19" t="s">
        <v>67</v>
      </c>
      <c r="E199" s="19" t="s">
        <v>68</v>
      </c>
      <c r="F199" s="20">
        <v>2.0</v>
      </c>
      <c r="G199" s="21">
        <v>2.0</v>
      </c>
      <c r="H199" s="21">
        <v>22.0</v>
      </c>
      <c r="I199" s="21">
        <v>44.0</v>
      </c>
      <c r="J199" s="45"/>
      <c r="K199" s="23">
        <v>11.03</v>
      </c>
      <c r="L199" s="24">
        <v>198.0</v>
      </c>
      <c r="M199" s="25" t="s">
        <v>69</v>
      </c>
      <c r="N199" s="25" t="s">
        <v>70</v>
      </c>
      <c r="O199" s="25">
        <v>2.1000000577E10</v>
      </c>
      <c r="P199" s="26" t="s">
        <v>1426</v>
      </c>
      <c r="Q199" s="27" t="s">
        <v>1424</v>
      </c>
      <c r="R199" s="28" t="s">
        <v>124</v>
      </c>
      <c r="S199" s="29">
        <f t="shared" si="1"/>
        <v>2</v>
      </c>
      <c r="T199" s="30"/>
      <c r="U199" s="30"/>
      <c r="V199" s="30"/>
      <c r="W199" s="30"/>
      <c r="X199" s="30"/>
      <c r="Y199" s="30"/>
      <c r="Z199" s="29">
        <v>2.0</v>
      </c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1"/>
      <c r="AT199" s="38" t="s">
        <v>678</v>
      </c>
      <c r="AU199" s="32">
        <f t="shared" si="2"/>
        <v>8.157333333</v>
      </c>
      <c r="AV199" s="33">
        <f t="shared" si="3"/>
        <v>10.60453333</v>
      </c>
      <c r="AW199" s="34"/>
      <c r="AX199" s="32">
        <f>67.9/5</f>
        <v>13.58</v>
      </c>
      <c r="AY199" s="46" t="s">
        <v>1427</v>
      </c>
      <c r="AZ199" s="34"/>
      <c r="BA199" s="30"/>
      <c r="BB199" s="30"/>
      <c r="BC199" s="35"/>
      <c r="BD199" s="32">
        <f>29.09/5</f>
        <v>5.818</v>
      </c>
      <c r="BE199" s="46" t="s">
        <v>1428</v>
      </c>
      <c r="BF199" s="31"/>
      <c r="BG199" s="30"/>
      <c r="BH199" s="30"/>
      <c r="BI199" s="31"/>
      <c r="BJ199" s="32">
        <f>25.37/5</f>
        <v>5.074</v>
      </c>
      <c r="BK199" s="46" t="s">
        <v>1429</v>
      </c>
      <c r="BL199" s="30"/>
      <c r="BM199" s="30"/>
    </row>
    <row r="200">
      <c r="A200" s="18" t="s">
        <v>41</v>
      </c>
      <c r="B200" s="18" t="s">
        <v>1430</v>
      </c>
      <c r="C200" s="19" t="s">
        <v>1431</v>
      </c>
      <c r="D200" s="19" t="s">
        <v>67</v>
      </c>
      <c r="E200" s="19" t="s">
        <v>68</v>
      </c>
      <c r="F200" s="20">
        <v>250.0</v>
      </c>
      <c r="G200" s="21">
        <v>250.0</v>
      </c>
      <c r="H200" s="21">
        <v>0.5</v>
      </c>
      <c r="I200" s="21">
        <v>125.0</v>
      </c>
      <c r="J200" s="45"/>
      <c r="K200" s="23">
        <v>1.31</v>
      </c>
      <c r="L200" s="24">
        <v>199.0</v>
      </c>
      <c r="M200" s="25" t="s">
        <v>69</v>
      </c>
      <c r="N200" s="25" t="s">
        <v>70</v>
      </c>
      <c r="O200" s="25">
        <v>2.1000000199E10</v>
      </c>
      <c r="P200" s="26" t="s">
        <v>1432</v>
      </c>
      <c r="Q200" s="27" t="s">
        <v>1433</v>
      </c>
      <c r="R200" s="28" t="s">
        <v>79</v>
      </c>
      <c r="S200" s="29">
        <f t="shared" si="1"/>
        <v>1250</v>
      </c>
      <c r="T200" s="30"/>
      <c r="U200" s="30"/>
      <c r="V200" s="30"/>
      <c r="W200" s="30"/>
      <c r="X200" s="30"/>
      <c r="Y200" s="30"/>
      <c r="Z200" s="38">
        <v>1000.0</v>
      </c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29">
        <v>250.0</v>
      </c>
      <c r="AQ200" s="30"/>
      <c r="AR200" s="30"/>
      <c r="AS200" s="31"/>
      <c r="AT200" s="38" t="s">
        <v>678</v>
      </c>
      <c r="AU200" s="32">
        <f t="shared" si="2"/>
        <v>1.371466667</v>
      </c>
      <c r="AV200" s="33">
        <f t="shared" si="3"/>
        <v>1.782906667</v>
      </c>
      <c r="AW200" s="34"/>
      <c r="AX200" s="32">
        <f>367.7/250</f>
        <v>1.4708</v>
      </c>
      <c r="AY200" s="46" t="s">
        <v>1434</v>
      </c>
      <c r="AZ200" s="34"/>
      <c r="BA200" s="30"/>
      <c r="BB200" s="30"/>
      <c r="BC200" s="35"/>
      <c r="BD200" s="32">
        <f>296.72/250</f>
        <v>1.18688</v>
      </c>
      <c r="BE200" s="46" t="s">
        <v>1435</v>
      </c>
      <c r="BF200" s="31"/>
      <c r="BG200" s="30"/>
      <c r="BH200" s="30"/>
      <c r="BI200" s="31"/>
      <c r="BJ200" s="32">
        <f>1456.72/1000</f>
        <v>1.45672</v>
      </c>
      <c r="BK200" s="46" t="s">
        <v>1436</v>
      </c>
      <c r="BL200" s="30"/>
      <c r="BM200" s="30"/>
    </row>
    <row r="201">
      <c r="A201" s="18" t="s">
        <v>41</v>
      </c>
      <c r="B201" s="48" t="s">
        <v>1437</v>
      </c>
      <c r="C201" s="19" t="s">
        <v>1438</v>
      </c>
      <c r="D201" s="19" t="s">
        <v>1439</v>
      </c>
      <c r="E201" s="19" t="s">
        <v>68</v>
      </c>
      <c r="F201" s="20">
        <v>250.0</v>
      </c>
      <c r="G201" s="21">
        <v>250.0</v>
      </c>
      <c r="H201" s="21">
        <v>0.5</v>
      </c>
      <c r="I201" s="21"/>
      <c r="J201" s="45"/>
      <c r="K201" s="23">
        <v>1.54</v>
      </c>
      <c r="L201" s="24">
        <v>200.0</v>
      </c>
      <c r="M201" s="25" t="s">
        <v>69</v>
      </c>
      <c r="N201" s="25" t="s">
        <v>70</v>
      </c>
      <c r="O201" s="25">
        <v>2.10000002E10</v>
      </c>
      <c r="P201" s="26" t="s">
        <v>1440</v>
      </c>
      <c r="Q201" s="27" t="s">
        <v>1441</v>
      </c>
      <c r="R201" s="28" t="s">
        <v>79</v>
      </c>
      <c r="S201" s="29">
        <f t="shared" si="1"/>
        <v>1400</v>
      </c>
      <c r="T201" s="30"/>
      <c r="U201" s="30"/>
      <c r="V201" s="38">
        <v>100.0</v>
      </c>
      <c r="W201" s="30"/>
      <c r="X201" s="30"/>
      <c r="Y201" s="30"/>
      <c r="Z201" s="28">
        <f>600+100</f>
        <v>700</v>
      </c>
      <c r="AA201" s="30"/>
      <c r="AB201" s="30"/>
      <c r="AC201" s="30"/>
      <c r="AD201" s="30"/>
      <c r="AE201" s="30"/>
      <c r="AF201" s="38"/>
      <c r="AG201" s="30"/>
      <c r="AH201" s="30"/>
      <c r="AI201" s="30"/>
      <c r="AJ201" s="30"/>
      <c r="AK201" s="30"/>
      <c r="AL201" s="30"/>
      <c r="AM201" s="30"/>
      <c r="AN201" s="38">
        <v>300.0</v>
      </c>
      <c r="AO201" s="30"/>
      <c r="AP201" s="38">
        <v>300.0</v>
      </c>
      <c r="AQ201" s="30"/>
      <c r="AR201" s="30"/>
      <c r="AS201" s="31"/>
      <c r="AT201" s="38" t="s">
        <v>678</v>
      </c>
      <c r="AU201" s="32">
        <f t="shared" si="2"/>
        <v>1.4913</v>
      </c>
      <c r="AV201" s="33">
        <f t="shared" si="3"/>
        <v>1.93869</v>
      </c>
      <c r="AW201" s="34"/>
      <c r="AX201" s="32">
        <f>149.99/100</f>
        <v>1.4999</v>
      </c>
      <c r="AY201" s="46" t="s">
        <v>1442</v>
      </c>
      <c r="AZ201" s="34"/>
      <c r="BA201" s="30"/>
      <c r="BB201" s="30"/>
      <c r="BC201" s="35"/>
      <c r="BD201" s="32">
        <f>153.5/100</f>
        <v>1.535</v>
      </c>
      <c r="BE201" s="46" t="s">
        <v>1443</v>
      </c>
      <c r="BF201" s="31"/>
      <c r="BG201" s="30"/>
      <c r="BH201" s="30"/>
      <c r="BI201" s="31"/>
      <c r="BJ201" s="42">
        <f>143.9/100</f>
        <v>1.439</v>
      </c>
      <c r="BK201" s="46" t="s">
        <v>1444</v>
      </c>
      <c r="BL201" s="30"/>
      <c r="BM201" s="30"/>
    </row>
    <row r="202">
      <c r="A202" s="18" t="s">
        <v>25</v>
      </c>
      <c r="B202" s="18" t="s">
        <v>1445</v>
      </c>
      <c r="C202" s="19" t="s">
        <v>1446</v>
      </c>
      <c r="D202" s="19" t="s">
        <v>67</v>
      </c>
      <c r="E202" s="19" t="s">
        <v>68</v>
      </c>
      <c r="F202" s="20">
        <v>100.0</v>
      </c>
      <c r="G202" s="21">
        <v>4.0</v>
      </c>
      <c r="H202" s="21">
        <v>241.0</v>
      </c>
      <c r="I202" s="21">
        <v>964.0</v>
      </c>
      <c r="J202" s="45"/>
      <c r="K202" s="23">
        <v>2.15</v>
      </c>
      <c r="L202" s="24">
        <v>201.0</v>
      </c>
      <c r="M202" s="25" t="s">
        <v>69</v>
      </c>
      <c r="N202" s="25" t="s">
        <v>70</v>
      </c>
      <c r="O202" s="25">
        <v>2.1000000201E10</v>
      </c>
      <c r="P202" s="26" t="s">
        <v>1447</v>
      </c>
      <c r="Q202" s="27" t="s">
        <v>1448</v>
      </c>
      <c r="R202" s="28" t="s">
        <v>79</v>
      </c>
      <c r="S202" s="29">
        <f t="shared" si="1"/>
        <v>500</v>
      </c>
      <c r="T202" s="30"/>
      <c r="U202" s="30"/>
      <c r="V202" s="30"/>
      <c r="W202" s="30"/>
      <c r="X202" s="30"/>
      <c r="Y202" s="30"/>
      <c r="Z202" s="28">
        <f>400+100</f>
        <v>500</v>
      </c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1"/>
      <c r="AT202" s="38" t="s">
        <v>678</v>
      </c>
      <c r="AU202" s="32">
        <f t="shared" si="2"/>
        <v>1.970066667</v>
      </c>
      <c r="AV202" s="33">
        <f t="shared" si="3"/>
        <v>2.561086667</v>
      </c>
      <c r="AW202" s="34"/>
      <c r="AX202" s="32">
        <f>199.67/100</f>
        <v>1.9967</v>
      </c>
      <c r="AY202" s="46" t="s">
        <v>1449</v>
      </c>
      <c r="AZ202" s="34"/>
      <c r="BA202" s="30"/>
      <c r="BB202" s="30"/>
      <c r="BC202" s="35"/>
      <c r="BD202" s="32">
        <f>184.03/100</f>
        <v>1.8403</v>
      </c>
      <c r="BE202" s="46" t="s">
        <v>1450</v>
      </c>
      <c r="BF202" s="31"/>
      <c r="BG202" s="30"/>
      <c r="BH202" s="30"/>
      <c r="BI202" s="31"/>
      <c r="BJ202" s="32">
        <f>207.32/100</f>
        <v>2.0732</v>
      </c>
      <c r="BK202" s="46" t="s">
        <v>1451</v>
      </c>
      <c r="BL202" s="30"/>
      <c r="BM202" s="30"/>
    </row>
    <row r="203">
      <c r="A203" s="18" t="s">
        <v>21</v>
      </c>
      <c r="B203" s="18" t="s">
        <v>1452</v>
      </c>
      <c r="C203" s="19" t="s">
        <v>1453</v>
      </c>
      <c r="D203" s="19" t="s">
        <v>67</v>
      </c>
      <c r="E203" s="19" t="s">
        <v>68</v>
      </c>
      <c r="F203" s="20">
        <v>100.0</v>
      </c>
      <c r="G203" s="21">
        <v>100.0</v>
      </c>
      <c r="H203" s="21">
        <v>1.58</v>
      </c>
      <c r="I203" s="21">
        <v>158.0</v>
      </c>
      <c r="J203" s="45"/>
      <c r="K203" s="23">
        <v>2.51</v>
      </c>
      <c r="L203" s="24">
        <v>202.0</v>
      </c>
      <c r="M203" s="25" t="s">
        <v>69</v>
      </c>
      <c r="N203" s="25" t="s">
        <v>70</v>
      </c>
      <c r="O203" s="25">
        <v>2.1000000547E10</v>
      </c>
      <c r="P203" s="26" t="s">
        <v>1454</v>
      </c>
      <c r="Q203" s="27" t="s">
        <v>1455</v>
      </c>
      <c r="R203" s="28" t="s">
        <v>79</v>
      </c>
      <c r="S203" s="29">
        <f t="shared" si="1"/>
        <v>100</v>
      </c>
      <c r="T203" s="30"/>
      <c r="U203" s="30"/>
      <c r="V203" s="29">
        <v>100.0</v>
      </c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1"/>
      <c r="AT203" s="38" t="s">
        <v>678</v>
      </c>
      <c r="AU203" s="32">
        <f t="shared" si="2"/>
        <v>2.173966667</v>
      </c>
      <c r="AV203" s="33">
        <f t="shared" si="3"/>
        <v>2.826156667</v>
      </c>
      <c r="AW203" s="34"/>
      <c r="AX203" s="32">
        <f>204.9/100</f>
        <v>2.049</v>
      </c>
      <c r="AY203" s="46" t="s">
        <v>1456</v>
      </c>
      <c r="AZ203" s="34"/>
      <c r="BA203" s="30"/>
      <c r="BB203" s="30"/>
      <c r="BC203" s="35"/>
      <c r="BD203" s="32">
        <f>214.4/100</f>
        <v>2.144</v>
      </c>
      <c r="BE203" s="46" t="s">
        <v>1457</v>
      </c>
      <c r="BF203" s="31"/>
      <c r="BG203" s="30"/>
      <c r="BH203" s="30"/>
      <c r="BI203" s="31"/>
      <c r="BJ203" s="32">
        <f>232.89/100</f>
        <v>2.3289</v>
      </c>
      <c r="BK203" s="46" t="s">
        <v>1458</v>
      </c>
      <c r="BL203" s="30"/>
      <c r="BM203" s="30"/>
    </row>
    <row r="204">
      <c r="A204" s="55" t="s">
        <v>43</v>
      </c>
      <c r="B204" s="87" t="s">
        <v>1459</v>
      </c>
      <c r="C204" s="88">
        <v>351911.0</v>
      </c>
      <c r="D204" s="56" t="s">
        <v>67</v>
      </c>
      <c r="E204" s="56" t="s">
        <v>68</v>
      </c>
      <c r="F204" s="57">
        <v>10.0</v>
      </c>
      <c r="G204" s="58">
        <v>10.0</v>
      </c>
      <c r="H204" s="58">
        <v>124.8</v>
      </c>
      <c r="I204" s="58">
        <v>1248.0</v>
      </c>
      <c r="J204" s="79"/>
      <c r="K204" s="60">
        <v>0.16</v>
      </c>
      <c r="L204" s="61">
        <v>203.0</v>
      </c>
      <c r="M204" s="62" t="s">
        <v>69</v>
      </c>
      <c r="N204" s="62" t="s">
        <v>70</v>
      </c>
      <c r="O204" s="62">
        <v>2.100000029E10</v>
      </c>
      <c r="P204" s="63" t="s">
        <v>1460</v>
      </c>
      <c r="Q204" s="64" t="s">
        <v>1461</v>
      </c>
      <c r="R204" s="65" t="s">
        <v>79</v>
      </c>
      <c r="S204" s="68">
        <f t="shared" si="1"/>
        <v>13500</v>
      </c>
      <c r="T204" s="66"/>
      <c r="U204" s="66"/>
      <c r="V204" s="66"/>
      <c r="W204" s="66"/>
      <c r="X204" s="66"/>
      <c r="Y204" s="66"/>
      <c r="Z204" s="67">
        <v>500.0</v>
      </c>
      <c r="AA204" s="66"/>
      <c r="AB204" s="66"/>
      <c r="AC204" s="66"/>
      <c r="AD204" s="66"/>
      <c r="AE204" s="66"/>
      <c r="AF204" s="66"/>
      <c r="AG204" s="67">
        <v>500.0</v>
      </c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5">
        <f>5000+7500</f>
        <v>12500</v>
      </c>
      <c r="AS204" s="69"/>
      <c r="AT204" s="67" t="s">
        <v>81</v>
      </c>
      <c r="AU204" s="70">
        <f t="shared" si="2"/>
        <v>0.1417666667</v>
      </c>
      <c r="AV204" s="71">
        <f t="shared" si="3"/>
        <v>0.1842966667</v>
      </c>
      <c r="AW204" s="72"/>
      <c r="AX204" s="70">
        <f>75.83/500</f>
        <v>0.15166</v>
      </c>
      <c r="AY204" s="76" t="s">
        <v>1462</v>
      </c>
      <c r="AZ204" s="72"/>
      <c r="BA204" s="66"/>
      <c r="BB204" s="66"/>
      <c r="BC204" s="75"/>
      <c r="BD204" s="70">
        <f>79.82/500</f>
        <v>0.15964</v>
      </c>
      <c r="BE204" s="76" t="s">
        <v>1463</v>
      </c>
      <c r="BF204" s="69"/>
      <c r="BG204" s="66"/>
      <c r="BH204" s="66"/>
      <c r="BI204" s="69"/>
      <c r="BJ204" s="70">
        <f>57/500</f>
        <v>0.114</v>
      </c>
      <c r="BK204" s="76" t="s">
        <v>1464</v>
      </c>
      <c r="BL204" s="66"/>
      <c r="BM204" s="66"/>
    </row>
    <row r="205">
      <c r="A205" s="18" t="s">
        <v>25</v>
      </c>
      <c r="B205" s="18" t="s">
        <v>1465</v>
      </c>
      <c r="C205" s="19" t="s">
        <v>1466</v>
      </c>
      <c r="D205" s="19" t="s">
        <v>67</v>
      </c>
      <c r="E205" s="19" t="s">
        <v>68</v>
      </c>
      <c r="F205" s="20">
        <v>1.0</v>
      </c>
      <c r="G205" s="21">
        <v>1.0</v>
      </c>
      <c r="H205" s="21">
        <v>90.0</v>
      </c>
      <c r="I205" s="21">
        <v>90.0</v>
      </c>
      <c r="J205" s="45"/>
      <c r="K205" s="23">
        <v>143.33</v>
      </c>
      <c r="L205" s="24">
        <v>204.0</v>
      </c>
      <c r="M205" s="25" t="s">
        <v>69</v>
      </c>
      <c r="N205" s="25" t="s">
        <v>70</v>
      </c>
      <c r="O205" s="25">
        <v>2.1000000135E10</v>
      </c>
      <c r="P205" s="26" t="s">
        <v>1467</v>
      </c>
      <c r="Q205" s="27" t="s">
        <v>1468</v>
      </c>
      <c r="R205" s="28" t="s">
        <v>208</v>
      </c>
      <c r="S205" s="29">
        <f t="shared" si="1"/>
        <v>3</v>
      </c>
      <c r="T205" s="30"/>
      <c r="U205" s="30"/>
      <c r="V205" s="30"/>
      <c r="W205" s="30"/>
      <c r="X205" s="30"/>
      <c r="Y205" s="30"/>
      <c r="Z205" s="29">
        <v>1.0</v>
      </c>
      <c r="AA205" s="30"/>
      <c r="AB205" s="30"/>
      <c r="AC205" s="38">
        <v>2.0</v>
      </c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1"/>
      <c r="AT205" s="38" t="s">
        <v>678</v>
      </c>
      <c r="AU205" s="32">
        <f t="shared" si="2"/>
        <v>117.5633333</v>
      </c>
      <c r="AV205" s="33">
        <f t="shared" si="3"/>
        <v>152.8323333</v>
      </c>
      <c r="AW205" s="34"/>
      <c r="AX205" s="42">
        <v>88.35</v>
      </c>
      <c r="AY205" s="46" t="s">
        <v>1469</v>
      </c>
      <c r="AZ205" s="34"/>
      <c r="BA205" s="30"/>
      <c r="BB205" s="30"/>
      <c r="BC205" s="35"/>
      <c r="BD205" s="42">
        <v>99.2</v>
      </c>
      <c r="BE205" s="46" t="s">
        <v>1470</v>
      </c>
      <c r="BF205" s="31"/>
      <c r="BG205" s="30"/>
      <c r="BH205" s="30"/>
      <c r="BI205" s="31"/>
      <c r="BJ205" s="42">
        <v>165.14</v>
      </c>
      <c r="BK205" s="46" t="s">
        <v>1471</v>
      </c>
      <c r="BL205" s="30"/>
      <c r="BM205" s="30"/>
    </row>
    <row r="206">
      <c r="A206" s="18" t="s">
        <v>25</v>
      </c>
      <c r="B206" s="18" t="s">
        <v>1472</v>
      </c>
      <c r="C206" s="19" t="s">
        <v>1473</v>
      </c>
      <c r="D206" s="19" t="s">
        <v>67</v>
      </c>
      <c r="E206" s="19" t="s">
        <v>68</v>
      </c>
      <c r="F206" s="20">
        <v>50.0</v>
      </c>
      <c r="G206" s="21">
        <v>2.0</v>
      </c>
      <c r="H206" s="21">
        <v>2.0</v>
      </c>
      <c r="I206" s="21">
        <v>4.0</v>
      </c>
      <c r="J206" s="36" t="s">
        <v>1474</v>
      </c>
      <c r="K206" s="23">
        <v>10.6</v>
      </c>
      <c r="L206" s="24">
        <v>205.0</v>
      </c>
      <c r="M206" s="25" t="s">
        <v>69</v>
      </c>
      <c r="N206" s="25" t="s">
        <v>70</v>
      </c>
      <c r="O206" s="25">
        <v>2.1000000358E10</v>
      </c>
      <c r="P206" s="26" t="s">
        <v>1475</v>
      </c>
      <c r="Q206" s="27" t="s">
        <v>1476</v>
      </c>
      <c r="R206" s="28" t="s">
        <v>79</v>
      </c>
      <c r="S206" s="29">
        <f t="shared" si="1"/>
        <v>50</v>
      </c>
      <c r="T206" s="30"/>
      <c r="U206" s="30"/>
      <c r="V206" s="30"/>
      <c r="W206" s="30"/>
      <c r="X206" s="30"/>
      <c r="Y206" s="30"/>
      <c r="Z206" s="28">
        <v>50.0</v>
      </c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1"/>
      <c r="AT206" s="38" t="s">
        <v>678</v>
      </c>
      <c r="AU206" s="32">
        <f t="shared" si="2"/>
        <v>11.2142</v>
      </c>
      <c r="AV206" s="33">
        <f t="shared" si="3"/>
        <v>14.57846</v>
      </c>
      <c r="AW206" s="34"/>
      <c r="AX206" s="42">
        <f>213.33/25</f>
        <v>8.5332</v>
      </c>
      <c r="AY206" s="46" t="s">
        <v>1477</v>
      </c>
      <c r="AZ206" s="34"/>
      <c r="BA206" s="30"/>
      <c r="BB206" s="30"/>
      <c r="BC206" s="35"/>
      <c r="BD206" s="42">
        <f>347.38/25</f>
        <v>13.8952</v>
      </c>
      <c r="BE206" s="46" t="s">
        <v>1478</v>
      </c>
      <c r="BF206" s="31"/>
      <c r="BG206" s="30"/>
      <c r="BH206" s="30"/>
      <c r="BI206" s="31"/>
      <c r="BJ206" s="32"/>
      <c r="BK206" s="31"/>
      <c r="BL206" s="30"/>
      <c r="BM206" s="30"/>
    </row>
    <row r="207">
      <c r="A207" s="18" t="s">
        <v>40</v>
      </c>
      <c r="B207" s="18" t="s">
        <v>1479</v>
      </c>
      <c r="C207" s="19" t="s">
        <v>1480</v>
      </c>
      <c r="D207" s="19" t="s">
        <v>67</v>
      </c>
      <c r="E207" s="19" t="s">
        <v>68</v>
      </c>
      <c r="F207" s="20">
        <v>1.0</v>
      </c>
      <c r="G207" s="21">
        <v>1.0</v>
      </c>
      <c r="H207" s="21">
        <v>379.0</v>
      </c>
      <c r="I207" s="21">
        <v>379.0</v>
      </c>
      <c r="J207" s="45"/>
      <c r="K207" s="23">
        <v>1052.21</v>
      </c>
      <c r="L207" s="24">
        <v>206.0</v>
      </c>
      <c r="M207" s="25" t="s">
        <v>69</v>
      </c>
      <c r="N207" s="25" t="s">
        <v>70</v>
      </c>
      <c r="O207" s="25">
        <v>2.1000000462E10</v>
      </c>
      <c r="P207" s="26" t="s">
        <v>1481</v>
      </c>
      <c r="Q207" s="27" t="s">
        <v>1482</v>
      </c>
      <c r="R207" s="28" t="s">
        <v>208</v>
      </c>
      <c r="S207" s="29">
        <f t="shared" si="1"/>
        <v>1</v>
      </c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29">
        <v>1.0</v>
      </c>
      <c r="AP207" s="30"/>
      <c r="AQ207" s="30"/>
      <c r="AR207" s="30"/>
      <c r="AS207" s="31"/>
      <c r="AT207" s="38" t="s">
        <v>678</v>
      </c>
      <c r="AU207" s="32">
        <f t="shared" si="2"/>
        <v>890.35</v>
      </c>
      <c r="AV207" s="33">
        <f t="shared" si="3"/>
        <v>1157.455</v>
      </c>
      <c r="AW207" s="34"/>
      <c r="AX207" s="32">
        <f>781.54</f>
        <v>781.54</v>
      </c>
      <c r="AY207" s="46" t="s">
        <v>1483</v>
      </c>
      <c r="AZ207" s="34"/>
      <c r="BA207" s="30"/>
      <c r="BB207" s="30"/>
      <c r="BC207" s="35"/>
      <c r="BD207" s="42">
        <v>1050.51</v>
      </c>
      <c r="BE207" s="46" t="s">
        <v>1484</v>
      </c>
      <c r="BF207" s="31"/>
      <c r="BG207" s="30"/>
      <c r="BH207" s="30"/>
      <c r="BI207" s="31"/>
      <c r="BJ207" s="32">
        <f>839</f>
        <v>839</v>
      </c>
      <c r="BK207" s="46" t="s">
        <v>1485</v>
      </c>
      <c r="BL207" s="30"/>
      <c r="BM207" s="30"/>
    </row>
    <row r="208">
      <c r="A208" s="18" t="s">
        <v>20</v>
      </c>
      <c r="B208" s="18" t="s">
        <v>1486</v>
      </c>
      <c r="C208" s="19" t="s">
        <v>1487</v>
      </c>
      <c r="D208" s="19" t="s">
        <v>67</v>
      </c>
      <c r="E208" s="19" t="s">
        <v>68</v>
      </c>
      <c r="F208" s="20">
        <v>1.0</v>
      </c>
      <c r="G208" s="21">
        <v>1.0</v>
      </c>
      <c r="H208" s="21">
        <v>104.3</v>
      </c>
      <c r="I208" s="21">
        <v>104.3</v>
      </c>
      <c r="J208" s="45"/>
      <c r="K208" s="23">
        <v>1.51</v>
      </c>
      <c r="L208" s="24">
        <v>207.0</v>
      </c>
      <c r="M208" s="25" t="s">
        <v>69</v>
      </c>
      <c r="N208" s="25" t="s">
        <v>70</v>
      </c>
      <c r="O208" s="25">
        <v>2.1000000204E10</v>
      </c>
      <c r="P208" s="26" t="s">
        <v>1488</v>
      </c>
      <c r="Q208" s="27" t="s">
        <v>1489</v>
      </c>
      <c r="R208" s="28" t="s">
        <v>79</v>
      </c>
      <c r="S208" s="29">
        <f t="shared" si="1"/>
        <v>200</v>
      </c>
      <c r="T208" s="30"/>
      <c r="U208" s="28">
        <v>100.0</v>
      </c>
      <c r="V208" s="30"/>
      <c r="W208" s="30"/>
      <c r="X208" s="30"/>
      <c r="Y208" s="30"/>
      <c r="Z208" s="38">
        <v>100.0</v>
      </c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1"/>
      <c r="AT208" s="38" t="s">
        <v>678</v>
      </c>
      <c r="AU208" s="32">
        <f t="shared" si="2"/>
        <v>1.407433333</v>
      </c>
      <c r="AV208" s="33">
        <f t="shared" si="3"/>
        <v>1.829663333</v>
      </c>
      <c r="AW208" s="34"/>
      <c r="AX208" s="32">
        <f>167.84/100</f>
        <v>1.6784</v>
      </c>
      <c r="AY208" s="46" t="s">
        <v>1490</v>
      </c>
      <c r="AZ208" s="34"/>
      <c r="BA208" s="30"/>
      <c r="BB208" s="30"/>
      <c r="BC208" s="35"/>
      <c r="BD208" s="42">
        <f>120.28/100</f>
        <v>1.2028</v>
      </c>
      <c r="BE208" s="46" t="s">
        <v>1491</v>
      </c>
      <c r="BF208" s="31"/>
      <c r="BG208" s="30"/>
      <c r="BH208" s="30"/>
      <c r="BI208" s="31"/>
      <c r="BJ208" s="32">
        <f>134.11/100</f>
        <v>1.3411</v>
      </c>
      <c r="BK208" s="46" t="s">
        <v>1492</v>
      </c>
      <c r="BL208" s="30"/>
      <c r="BM208" s="30"/>
    </row>
    <row r="209">
      <c r="A209" s="18" t="s">
        <v>25</v>
      </c>
      <c r="B209" s="18" t="s">
        <v>1493</v>
      </c>
      <c r="C209" s="19" t="s">
        <v>1494</v>
      </c>
      <c r="D209" s="19" t="s">
        <v>67</v>
      </c>
      <c r="E209" s="19" t="s">
        <v>68</v>
      </c>
      <c r="F209" s="20">
        <v>200.0</v>
      </c>
      <c r="G209" s="21">
        <v>2.0</v>
      </c>
      <c r="H209" s="21">
        <v>1.0</v>
      </c>
      <c r="I209" s="21">
        <v>2.0</v>
      </c>
      <c r="J209" s="45"/>
      <c r="K209" s="23">
        <v>0.86</v>
      </c>
      <c r="L209" s="24">
        <v>208.0</v>
      </c>
      <c r="M209" s="25" t="s">
        <v>69</v>
      </c>
      <c r="N209" s="25" t="s">
        <v>70</v>
      </c>
      <c r="O209" s="25">
        <v>2.100000056E10</v>
      </c>
      <c r="P209" s="26" t="s">
        <v>1495</v>
      </c>
      <c r="Q209" s="27" t="s">
        <v>1496</v>
      </c>
      <c r="R209" s="28" t="s">
        <v>79</v>
      </c>
      <c r="S209" s="29">
        <f t="shared" si="1"/>
        <v>200</v>
      </c>
      <c r="T209" s="30"/>
      <c r="U209" s="30"/>
      <c r="V209" s="30"/>
      <c r="W209" s="30"/>
      <c r="X209" s="30"/>
      <c r="Y209" s="30"/>
      <c r="Z209" s="28">
        <v>200.0</v>
      </c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1"/>
      <c r="AT209" s="38" t="s">
        <v>678</v>
      </c>
      <c r="AU209" s="32">
        <f t="shared" si="2"/>
        <v>0.8609333333</v>
      </c>
      <c r="AV209" s="33">
        <f t="shared" si="3"/>
        <v>1.119213333</v>
      </c>
      <c r="AW209" s="34"/>
      <c r="AX209" s="32">
        <f>88.9/100</f>
        <v>0.889</v>
      </c>
      <c r="AY209" s="46" t="s">
        <v>1497</v>
      </c>
      <c r="AZ209" s="34"/>
      <c r="BA209" s="30"/>
      <c r="BB209" s="30"/>
      <c r="BC209" s="35"/>
      <c r="BD209" s="32">
        <f>93.58/100</f>
        <v>0.9358</v>
      </c>
      <c r="BE209" s="46" t="s">
        <v>1498</v>
      </c>
      <c r="BF209" s="31"/>
      <c r="BG209" s="30"/>
      <c r="BH209" s="30"/>
      <c r="BI209" s="31"/>
      <c r="BJ209" s="42">
        <f>75.8/100</f>
        <v>0.758</v>
      </c>
      <c r="BK209" s="46" t="s">
        <v>1499</v>
      </c>
      <c r="BL209" s="30"/>
      <c r="BM209" s="30"/>
    </row>
    <row r="210">
      <c r="A210" s="18" t="s">
        <v>25</v>
      </c>
      <c r="B210" s="18" t="s">
        <v>1500</v>
      </c>
      <c r="C210" s="19" t="s">
        <v>1501</v>
      </c>
      <c r="D210" s="19" t="s">
        <v>67</v>
      </c>
      <c r="E210" s="19" t="s">
        <v>68</v>
      </c>
      <c r="F210" s="20">
        <v>7000.0</v>
      </c>
      <c r="G210" s="21">
        <v>14.0</v>
      </c>
      <c r="H210" s="21">
        <v>0.0</v>
      </c>
      <c r="I210" s="21">
        <v>0.0</v>
      </c>
      <c r="J210" s="45"/>
      <c r="K210" s="23">
        <v>0.6</v>
      </c>
      <c r="L210" s="51">
        <v>209.0</v>
      </c>
      <c r="M210" s="25" t="s">
        <v>69</v>
      </c>
      <c r="N210" s="25" t="s">
        <v>70</v>
      </c>
      <c r="O210" s="25">
        <v>2.1000000154E10</v>
      </c>
      <c r="P210" s="26" t="s">
        <v>1502</v>
      </c>
      <c r="Q210" s="27" t="s">
        <v>1503</v>
      </c>
      <c r="R210" s="28" t="s">
        <v>79</v>
      </c>
      <c r="S210" s="29">
        <f t="shared" si="1"/>
        <v>7500</v>
      </c>
      <c r="T210" s="30"/>
      <c r="U210" s="30"/>
      <c r="V210" s="30"/>
      <c r="W210" s="30"/>
      <c r="X210" s="30"/>
      <c r="Y210" s="30"/>
      <c r="Z210" s="28">
        <v>7000.0</v>
      </c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8">
        <v>500.0</v>
      </c>
      <c r="AM210" s="30"/>
      <c r="AN210" s="30"/>
      <c r="AO210" s="30"/>
      <c r="AP210" s="30"/>
      <c r="AQ210" s="30"/>
      <c r="AR210" s="30"/>
      <c r="AS210" s="31"/>
      <c r="AT210" s="38" t="s">
        <v>678</v>
      </c>
      <c r="AU210" s="32">
        <f t="shared" si="2"/>
        <v>0.4945</v>
      </c>
      <c r="AV210" s="33">
        <f t="shared" si="3"/>
        <v>0.64285</v>
      </c>
      <c r="AW210" s="34"/>
      <c r="AX210" s="32">
        <f>320.36/500</f>
        <v>0.64072</v>
      </c>
      <c r="AY210" s="46" t="s">
        <v>1504</v>
      </c>
      <c r="AZ210" s="34"/>
      <c r="BA210" s="30"/>
      <c r="BB210" s="30"/>
      <c r="BC210" s="35"/>
      <c r="BD210" s="32">
        <f>216.39/500</f>
        <v>0.43278</v>
      </c>
      <c r="BE210" s="46" t="s">
        <v>1505</v>
      </c>
      <c r="BF210" s="31"/>
      <c r="BG210" s="30"/>
      <c r="BH210" s="30"/>
      <c r="BI210" s="31"/>
      <c r="BJ210" s="31">
        <f>205/500</f>
        <v>0.41</v>
      </c>
      <c r="BK210" s="46" t="s">
        <v>1506</v>
      </c>
      <c r="BL210" s="30"/>
      <c r="BM210" s="30"/>
    </row>
    <row r="211">
      <c r="A211" s="18" t="s">
        <v>25</v>
      </c>
      <c r="B211" s="18" t="s">
        <v>1507</v>
      </c>
      <c r="C211" s="19" t="s">
        <v>1508</v>
      </c>
      <c r="D211" s="19" t="s">
        <v>67</v>
      </c>
      <c r="E211" s="19" t="s">
        <v>68</v>
      </c>
      <c r="F211" s="20">
        <v>100.0</v>
      </c>
      <c r="G211" s="21">
        <v>1.0</v>
      </c>
      <c r="H211" s="21">
        <v>609.0</v>
      </c>
      <c r="I211" s="21">
        <v>609.0</v>
      </c>
      <c r="J211" s="45"/>
      <c r="K211" s="23">
        <v>3.64</v>
      </c>
      <c r="L211" s="24">
        <v>210.0</v>
      </c>
      <c r="M211" s="25" t="s">
        <v>69</v>
      </c>
      <c r="N211" s="25" t="s">
        <v>70</v>
      </c>
      <c r="O211" s="25">
        <v>2.1000000295E10</v>
      </c>
      <c r="P211" s="26" t="s">
        <v>1509</v>
      </c>
      <c r="Q211" s="27" t="s">
        <v>1510</v>
      </c>
      <c r="R211" s="28" t="s">
        <v>79</v>
      </c>
      <c r="S211" s="29">
        <f t="shared" si="1"/>
        <v>100</v>
      </c>
      <c r="T211" s="30"/>
      <c r="U211" s="30"/>
      <c r="V211" s="30"/>
      <c r="W211" s="30"/>
      <c r="X211" s="30"/>
      <c r="Y211" s="30"/>
      <c r="Z211" s="28">
        <v>100.0</v>
      </c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1"/>
      <c r="AT211" s="38" t="s">
        <v>678</v>
      </c>
      <c r="AU211" s="32">
        <f t="shared" si="2"/>
        <v>3.6444</v>
      </c>
      <c r="AV211" s="33">
        <f t="shared" si="3"/>
        <v>4.73772</v>
      </c>
      <c r="AW211" s="34"/>
      <c r="AX211" s="32">
        <f>400/100</f>
        <v>4</v>
      </c>
      <c r="AY211" s="39" t="s">
        <v>1511</v>
      </c>
      <c r="AZ211" s="34"/>
      <c r="BA211" s="30"/>
      <c r="BB211" s="30"/>
      <c r="BC211" s="35"/>
      <c r="BD211" s="32">
        <f>333.32/100</f>
        <v>3.3332</v>
      </c>
      <c r="BE211" s="39" t="s">
        <v>1512</v>
      </c>
      <c r="BF211" s="31"/>
      <c r="BG211" s="30"/>
      <c r="BH211" s="30"/>
      <c r="BI211" s="31"/>
      <c r="BJ211" s="32">
        <f>360/100</f>
        <v>3.6</v>
      </c>
      <c r="BK211" s="39" t="s">
        <v>1513</v>
      </c>
      <c r="BL211" s="30"/>
      <c r="BM211" s="30"/>
    </row>
    <row r="212">
      <c r="A212" s="18" t="s">
        <v>21</v>
      </c>
      <c r="B212" s="18" t="s">
        <v>1514</v>
      </c>
      <c r="C212" s="19" t="s">
        <v>1515</v>
      </c>
      <c r="D212" s="19" t="s">
        <v>67</v>
      </c>
      <c r="E212" s="19" t="s">
        <v>68</v>
      </c>
      <c r="F212" s="20">
        <v>100.0</v>
      </c>
      <c r="G212" s="21">
        <v>100.0</v>
      </c>
      <c r="H212" s="21">
        <v>0.47</v>
      </c>
      <c r="I212" s="21">
        <v>47.0</v>
      </c>
      <c r="J212" s="45"/>
      <c r="K212" s="23">
        <v>3.13</v>
      </c>
      <c r="L212" s="24">
        <v>211.0</v>
      </c>
      <c r="M212" s="25" t="s">
        <v>69</v>
      </c>
      <c r="N212" s="25" t="s">
        <v>70</v>
      </c>
      <c r="O212" s="25">
        <v>2.1000000638E10</v>
      </c>
      <c r="P212" s="26" t="s">
        <v>1516</v>
      </c>
      <c r="Q212" s="27" t="s">
        <v>1517</v>
      </c>
      <c r="R212" s="28" t="s">
        <v>79</v>
      </c>
      <c r="S212" s="29">
        <f t="shared" si="1"/>
        <v>100</v>
      </c>
      <c r="T212" s="30"/>
      <c r="U212" s="30"/>
      <c r="V212" s="29">
        <v>100.0</v>
      </c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1"/>
      <c r="AT212" s="38" t="s">
        <v>678</v>
      </c>
      <c r="AU212" s="32">
        <f t="shared" si="2"/>
        <v>3.1336</v>
      </c>
      <c r="AV212" s="33">
        <f t="shared" si="3"/>
        <v>4.07368</v>
      </c>
      <c r="AW212" s="34"/>
      <c r="AX212" s="32">
        <f>81.21/25</f>
        <v>3.2484</v>
      </c>
      <c r="AY212" s="46" t="s">
        <v>1518</v>
      </c>
      <c r="AZ212" s="34"/>
      <c r="BA212" s="30"/>
      <c r="BB212" s="30"/>
      <c r="BC212" s="35"/>
      <c r="BD212" s="32">
        <f>79.82/25</f>
        <v>3.1928</v>
      </c>
      <c r="BE212" s="46" t="s">
        <v>1519</v>
      </c>
      <c r="BF212" s="31"/>
      <c r="BG212" s="30"/>
      <c r="BH212" s="30"/>
      <c r="BI212" s="31"/>
      <c r="BJ212" s="32">
        <f>73.99/25</f>
        <v>2.9596</v>
      </c>
      <c r="BK212" s="46" t="s">
        <v>1520</v>
      </c>
      <c r="BL212" s="30"/>
      <c r="BM212" s="30"/>
    </row>
    <row r="213">
      <c r="A213" s="18" t="s">
        <v>22</v>
      </c>
      <c r="B213" s="18" t="s">
        <v>1521</v>
      </c>
      <c r="C213" s="19" t="s">
        <v>633</v>
      </c>
      <c r="D213" s="19" t="s">
        <v>67</v>
      </c>
      <c r="E213" s="19" t="s">
        <v>68</v>
      </c>
      <c r="F213" s="20">
        <v>1.0</v>
      </c>
      <c r="G213" s="21">
        <v>1.0</v>
      </c>
      <c r="H213" s="21">
        <v>90.0</v>
      </c>
      <c r="I213" s="21">
        <v>90.0</v>
      </c>
      <c r="J213" s="36" t="s">
        <v>1522</v>
      </c>
      <c r="K213" s="23">
        <v>7.76</v>
      </c>
      <c r="L213" s="24">
        <v>212.0</v>
      </c>
      <c r="M213" s="25" t="s">
        <v>69</v>
      </c>
      <c r="N213" s="25" t="s">
        <v>70</v>
      </c>
      <c r="O213" s="25">
        <v>2.1000000334E10</v>
      </c>
      <c r="P213" s="26" t="s">
        <v>1523</v>
      </c>
      <c r="Q213" s="27" t="s">
        <v>1524</v>
      </c>
      <c r="R213" s="28" t="s">
        <v>79</v>
      </c>
      <c r="S213" s="29">
        <f t="shared" si="1"/>
        <v>25</v>
      </c>
      <c r="T213" s="30"/>
      <c r="U213" s="30"/>
      <c r="V213" s="30"/>
      <c r="W213" s="28">
        <v>25.0</v>
      </c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1"/>
      <c r="AT213" s="38" t="s">
        <v>678</v>
      </c>
      <c r="AU213" s="32">
        <f t="shared" si="2"/>
        <v>6.331733333</v>
      </c>
      <c r="AV213" s="33">
        <f t="shared" si="3"/>
        <v>8.231253333</v>
      </c>
      <c r="AW213" s="34"/>
      <c r="AX213" s="32">
        <f>128/25</f>
        <v>5.12</v>
      </c>
      <c r="AY213" s="46" t="s">
        <v>1525</v>
      </c>
      <c r="AZ213" s="34"/>
      <c r="BA213" s="30"/>
      <c r="BB213" s="30"/>
      <c r="BC213" s="35"/>
      <c r="BD213" s="32">
        <f>176.98/25</f>
        <v>7.0792</v>
      </c>
      <c r="BE213" s="46" t="s">
        <v>1526</v>
      </c>
      <c r="BF213" s="31"/>
      <c r="BG213" s="30"/>
      <c r="BH213" s="30"/>
      <c r="BI213" s="31"/>
      <c r="BJ213" s="32">
        <f>169.9/25</f>
        <v>6.796</v>
      </c>
      <c r="BK213" s="46" t="s">
        <v>1527</v>
      </c>
      <c r="BL213" s="30"/>
      <c r="BM213" s="30"/>
    </row>
    <row r="214">
      <c r="A214" s="18" t="s">
        <v>25</v>
      </c>
      <c r="B214" s="18" t="s">
        <v>1528</v>
      </c>
      <c r="C214" s="19" t="s">
        <v>1529</v>
      </c>
      <c r="D214" s="19" t="s">
        <v>67</v>
      </c>
      <c r="E214" s="19" t="s">
        <v>68</v>
      </c>
      <c r="F214" s="20">
        <v>1000.0</v>
      </c>
      <c r="G214" s="21">
        <v>2.0</v>
      </c>
      <c r="H214" s="21">
        <v>0.0</v>
      </c>
      <c r="I214" s="21">
        <v>0.0</v>
      </c>
      <c r="J214" s="45"/>
      <c r="K214" s="23">
        <v>0.29</v>
      </c>
      <c r="L214" s="24">
        <v>213.0</v>
      </c>
      <c r="M214" s="25" t="s">
        <v>69</v>
      </c>
      <c r="N214" s="25" t="s">
        <v>70</v>
      </c>
      <c r="O214" s="25">
        <v>2.1000000578E10</v>
      </c>
      <c r="P214" s="26" t="s">
        <v>1530</v>
      </c>
      <c r="Q214" s="27" t="s">
        <v>1531</v>
      </c>
      <c r="R214" s="28" t="s">
        <v>79</v>
      </c>
      <c r="S214" s="29">
        <f t="shared" si="1"/>
        <v>1000</v>
      </c>
      <c r="T214" s="30"/>
      <c r="U214" s="30"/>
      <c r="V214" s="30"/>
      <c r="W214" s="30"/>
      <c r="X214" s="30"/>
      <c r="Y214" s="30"/>
      <c r="Z214" s="28">
        <v>1000.0</v>
      </c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1"/>
      <c r="AT214" s="38" t="s">
        <v>805</v>
      </c>
      <c r="AU214" s="32">
        <f t="shared" si="2"/>
        <v>0.2749866667</v>
      </c>
      <c r="AV214" s="33">
        <f t="shared" si="3"/>
        <v>0.3574826667</v>
      </c>
      <c r="AW214" s="34"/>
      <c r="AX214" s="32">
        <f>130.72/500</f>
        <v>0.26144</v>
      </c>
      <c r="AY214" s="46" t="s">
        <v>1532</v>
      </c>
      <c r="AZ214" s="34"/>
      <c r="BA214" s="30"/>
      <c r="BB214" s="30"/>
      <c r="BC214" s="35"/>
      <c r="BD214" s="32">
        <f>72.38/250</f>
        <v>0.28952</v>
      </c>
      <c r="BE214" s="46" t="s">
        <v>1533</v>
      </c>
      <c r="BF214" s="31"/>
      <c r="BG214" s="30"/>
      <c r="BH214" s="30"/>
      <c r="BI214" s="31"/>
      <c r="BJ214" s="32">
        <f>137/500</f>
        <v>0.274</v>
      </c>
      <c r="BK214" s="39" t="s">
        <v>1534</v>
      </c>
      <c r="BL214" s="30"/>
      <c r="BM214" s="30"/>
    </row>
    <row r="215">
      <c r="A215" s="18" t="s">
        <v>20</v>
      </c>
      <c r="B215" s="18" t="s">
        <v>1535</v>
      </c>
      <c r="C215" s="19" t="s">
        <v>1536</v>
      </c>
      <c r="D215" s="19" t="s">
        <v>67</v>
      </c>
      <c r="E215" s="19" t="s">
        <v>68</v>
      </c>
      <c r="F215" s="20">
        <v>4.0</v>
      </c>
      <c r="G215" s="21">
        <v>4.0</v>
      </c>
      <c r="H215" s="21">
        <v>99.0</v>
      </c>
      <c r="I215" s="21">
        <v>396.0</v>
      </c>
      <c r="J215" s="36" t="s">
        <v>1537</v>
      </c>
      <c r="K215" s="23">
        <v>259.0</v>
      </c>
      <c r="L215" s="24">
        <v>214.0</v>
      </c>
      <c r="M215" s="25" t="s">
        <v>69</v>
      </c>
      <c r="N215" s="25" t="s">
        <v>70</v>
      </c>
      <c r="O215" s="25">
        <v>2.1000000345E10</v>
      </c>
      <c r="P215" s="26" t="s">
        <v>1538</v>
      </c>
      <c r="Q215" s="27" t="s">
        <v>1539</v>
      </c>
      <c r="R215" s="28" t="s">
        <v>1413</v>
      </c>
      <c r="S215" s="29">
        <f t="shared" si="1"/>
        <v>3</v>
      </c>
      <c r="T215" s="30"/>
      <c r="U215" s="28">
        <v>2.0</v>
      </c>
      <c r="V215" s="30"/>
      <c r="W215" s="30"/>
      <c r="X215" s="30"/>
      <c r="Y215" s="30"/>
      <c r="Z215" s="38">
        <v>1.0</v>
      </c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1"/>
      <c r="AT215" s="38" t="s">
        <v>678</v>
      </c>
      <c r="AU215" s="32">
        <f t="shared" si="2"/>
        <v>222.76</v>
      </c>
      <c r="AV215" s="33">
        <f t="shared" si="3"/>
        <v>289.588</v>
      </c>
      <c r="AW215" s="34"/>
      <c r="AX215" s="32">
        <f>111.38*2</f>
        <v>222.76</v>
      </c>
      <c r="AY215" s="46" t="s">
        <v>1540</v>
      </c>
      <c r="AZ215" s="34"/>
      <c r="BA215" s="30"/>
      <c r="BB215" s="30"/>
      <c r="BC215" s="35"/>
      <c r="BD215" s="32"/>
      <c r="BE215" s="31"/>
      <c r="BF215" s="31"/>
      <c r="BG215" s="30"/>
      <c r="BH215" s="30"/>
      <c r="BI215" s="31"/>
      <c r="BJ215" s="32"/>
      <c r="BK215" s="31"/>
      <c r="BL215" s="30"/>
      <c r="BM215" s="30"/>
    </row>
    <row r="216">
      <c r="A216" s="18" t="s">
        <v>20</v>
      </c>
      <c r="B216" s="18" t="s">
        <v>1541</v>
      </c>
      <c r="C216" s="19" t="s">
        <v>1542</v>
      </c>
      <c r="D216" s="19" t="s">
        <v>67</v>
      </c>
      <c r="E216" s="19" t="s">
        <v>68</v>
      </c>
      <c r="F216" s="20">
        <v>6.0</v>
      </c>
      <c r="G216" s="21">
        <v>6.0</v>
      </c>
      <c r="H216" s="21">
        <v>70.0</v>
      </c>
      <c r="I216" s="21">
        <v>420.0</v>
      </c>
      <c r="J216" s="45"/>
      <c r="K216" s="23">
        <v>0.11</v>
      </c>
      <c r="L216" s="24">
        <v>215.0</v>
      </c>
      <c r="M216" s="25" t="s">
        <v>69</v>
      </c>
      <c r="N216" s="25" t="s">
        <v>70</v>
      </c>
      <c r="O216" s="25">
        <v>2.1000000579E10</v>
      </c>
      <c r="P216" s="26" t="s">
        <v>1543</v>
      </c>
      <c r="Q216" s="27" t="s">
        <v>1544</v>
      </c>
      <c r="R216" s="28" t="s">
        <v>79</v>
      </c>
      <c r="S216" s="29">
        <f t="shared" si="1"/>
        <v>4000</v>
      </c>
      <c r="T216" s="30"/>
      <c r="U216" s="28">
        <v>3000.0</v>
      </c>
      <c r="V216" s="30"/>
      <c r="W216" s="30"/>
      <c r="X216" s="30"/>
      <c r="Y216" s="30"/>
      <c r="Z216" s="38">
        <v>1000.0</v>
      </c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1"/>
      <c r="AT216" s="38" t="s">
        <v>678</v>
      </c>
      <c r="AU216" s="32">
        <f t="shared" si="2"/>
        <v>0.09393333333</v>
      </c>
      <c r="AV216" s="33">
        <f t="shared" si="3"/>
        <v>0.1221133333</v>
      </c>
      <c r="AW216" s="34"/>
      <c r="AX216" s="32">
        <f>50.53/500</f>
        <v>0.10106</v>
      </c>
      <c r="AY216" s="46" t="s">
        <v>1545</v>
      </c>
      <c r="AZ216" s="34"/>
      <c r="BA216" s="30"/>
      <c r="BB216" s="30"/>
      <c r="BC216" s="35"/>
      <c r="BD216" s="32">
        <f>30.38/500</f>
        <v>0.06076</v>
      </c>
      <c r="BE216" s="46" t="s">
        <v>1546</v>
      </c>
      <c r="BF216" s="31"/>
      <c r="BG216" s="30"/>
      <c r="BH216" s="30"/>
      <c r="BI216" s="31"/>
      <c r="BJ216" s="32">
        <f>59.99/500</f>
        <v>0.11998</v>
      </c>
      <c r="BK216" s="46" t="s">
        <v>1547</v>
      </c>
      <c r="BL216" s="30"/>
      <c r="BM216" s="30"/>
    </row>
    <row r="217">
      <c r="A217" s="18" t="s">
        <v>41</v>
      </c>
      <c r="B217" s="18" t="s">
        <v>1548</v>
      </c>
      <c r="C217" s="19" t="s">
        <v>1549</v>
      </c>
      <c r="D217" s="19" t="s">
        <v>67</v>
      </c>
      <c r="E217" s="19" t="s">
        <v>68</v>
      </c>
      <c r="F217" s="20">
        <v>200.0</v>
      </c>
      <c r="G217" s="21">
        <v>200.0</v>
      </c>
      <c r="H217" s="21">
        <v>2.4</v>
      </c>
      <c r="I217" s="21">
        <v>480.0</v>
      </c>
      <c r="J217" s="36"/>
      <c r="K217" s="23">
        <v>1.42</v>
      </c>
      <c r="L217" s="24">
        <v>216.0</v>
      </c>
      <c r="M217" s="25" t="s">
        <v>69</v>
      </c>
      <c r="N217" s="25" t="s">
        <v>70</v>
      </c>
      <c r="O217" s="25">
        <v>2.1000000659E10</v>
      </c>
      <c r="P217" s="26" t="s">
        <v>1550</v>
      </c>
      <c r="Q217" s="27" t="s">
        <v>1551</v>
      </c>
      <c r="R217" s="28" t="s">
        <v>79</v>
      </c>
      <c r="S217" s="29">
        <f t="shared" si="1"/>
        <v>250</v>
      </c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28">
        <v>250.0</v>
      </c>
      <c r="AQ217" s="30"/>
      <c r="AR217" s="30"/>
      <c r="AS217" s="31"/>
      <c r="AT217" s="38" t="s">
        <v>678</v>
      </c>
      <c r="AU217" s="32">
        <f t="shared" si="2"/>
        <v>1.35588</v>
      </c>
      <c r="AV217" s="33">
        <f t="shared" si="3"/>
        <v>1.762644</v>
      </c>
      <c r="AW217" s="34"/>
      <c r="AX217" s="32">
        <f>329.28/250</f>
        <v>1.31712</v>
      </c>
      <c r="AY217" s="46" t="s">
        <v>1552</v>
      </c>
      <c r="AZ217" s="34"/>
      <c r="BA217" s="30"/>
      <c r="BB217" s="30"/>
      <c r="BC217" s="35"/>
      <c r="BD217" s="32">
        <f>310.82/250</f>
        <v>1.24328</v>
      </c>
      <c r="BE217" s="46" t="s">
        <v>1553</v>
      </c>
      <c r="BF217" s="31"/>
      <c r="BG217" s="30"/>
      <c r="BH217" s="30"/>
      <c r="BI217" s="31"/>
      <c r="BJ217" s="32">
        <f>376.81/250</f>
        <v>1.50724</v>
      </c>
      <c r="BK217" s="39" t="s">
        <v>1554</v>
      </c>
      <c r="BL217" s="30"/>
      <c r="BM217" s="30"/>
    </row>
    <row r="218">
      <c r="A218" s="18" t="s">
        <v>25</v>
      </c>
      <c r="B218" s="18" t="s">
        <v>1555</v>
      </c>
      <c r="C218" s="19" t="s">
        <v>1556</v>
      </c>
      <c r="D218" s="19" t="s">
        <v>67</v>
      </c>
      <c r="E218" s="19" t="s">
        <v>68</v>
      </c>
      <c r="F218" s="20">
        <v>250.0</v>
      </c>
      <c r="G218" s="21">
        <v>1.0</v>
      </c>
      <c r="H218" s="21">
        <v>1.0</v>
      </c>
      <c r="I218" s="21">
        <v>1.0</v>
      </c>
      <c r="J218" s="45"/>
      <c r="K218" s="23">
        <v>0.63</v>
      </c>
      <c r="L218" s="24">
        <v>217.0</v>
      </c>
      <c r="M218" s="25" t="s">
        <v>69</v>
      </c>
      <c r="N218" s="25" t="s">
        <v>70</v>
      </c>
      <c r="O218" s="25">
        <v>2.1000000335E10</v>
      </c>
      <c r="P218" s="26" t="s">
        <v>1557</v>
      </c>
      <c r="Q218" s="27" t="s">
        <v>1558</v>
      </c>
      <c r="R218" s="28" t="s">
        <v>79</v>
      </c>
      <c r="S218" s="29">
        <f t="shared" si="1"/>
        <v>250</v>
      </c>
      <c r="T218" s="30"/>
      <c r="U218" s="30"/>
      <c r="V218" s="30"/>
      <c r="W218" s="30"/>
      <c r="X218" s="30"/>
      <c r="Y218" s="30"/>
      <c r="Z218" s="28">
        <v>250.0</v>
      </c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1"/>
      <c r="AT218" s="38" t="s">
        <v>678</v>
      </c>
      <c r="AU218" s="32">
        <f t="shared" si="2"/>
        <v>0.63096</v>
      </c>
      <c r="AV218" s="33">
        <f t="shared" si="3"/>
        <v>0.820248</v>
      </c>
      <c r="AW218" s="34"/>
      <c r="AX218" s="32">
        <f>53.58/100</f>
        <v>0.5358</v>
      </c>
      <c r="AY218" s="46" t="s">
        <v>1559</v>
      </c>
      <c r="AZ218" s="34"/>
      <c r="BA218" s="30"/>
      <c r="BB218" s="30"/>
      <c r="BC218" s="35"/>
      <c r="BD218" s="32">
        <f>158.21/250</f>
        <v>0.63284</v>
      </c>
      <c r="BE218" s="46" t="s">
        <v>1560</v>
      </c>
      <c r="BF218" s="31"/>
      <c r="BG218" s="30"/>
      <c r="BH218" s="30"/>
      <c r="BI218" s="31"/>
      <c r="BJ218" s="32">
        <f>181.06/250</f>
        <v>0.72424</v>
      </c>
      <c r="BK218" s="46" t="s">
        <v>1561</v>
      </c>
      <c r="BL218" s="30"/>
      <c r="BM218" s="30"/>
    </row>
    <row r="219">
      <c r="A219" s="18" t="s">
        <v>41</v>
      </c>
      <c r="B219" s="18" t="s">
        <v>1562</v>
      </c>
      <c r="C219" s="19" t="s">
        <v>1563</v>
      </c>
      <c r="D219" s="19" t="s">
        <v>67</v>
      </c>
      <c r="E219" s="19" t="s">
        <v>68</v>
      </c>
      <c r="F219" s="20">
        <v>100.0</v>
      </c>
      <c r="G219" s="21">
        <v>100.0</v>
      </c>
      <c r="H219" s="21">
        <v>2.5</v>
      </c>
      <c r="I219" s="21">
        <v>250.0</v>
      </c>
      <c r="J219" s="45"/>
      <c r="K219" s="23">
        <v>1.75</v>
      </c>
      <c r="L219" s="24">
        <v>218.0</v>
      </c>
      <c r="M219" s="25" t="s">
        <v>69</v>
      </c>
      <c r="N219" s="25" t="s">
        <v>70</v>
      </c>
      <c r="O219" s="25">
        <v>2.1000000658E10</v>
      </c>
      <c r="P219" s="26" t="s">
        <v>1564</v>
      </c>
      <c r="Q219" s="27" t="s">
        <v>1565</v>
      </c>
      <c r="R219" s="28" t="s">
        <v>79</v>
      </c>
      <c r="S219" s="29">
        <f t="shared" si="1"/>
        <v>100</v>
      </c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29">
        <v>100.0</v>
      </c>
      <c r="AQ219" s="30"/>
      <c r="AR219" s="30"/>
      <c r="AS219" s="31"/>
      <c r="AT219" s="38" t="s">
        <v>678</v>
      </c>
      <c r="AU219" s="32">
        <f t="shared" si="2"/>
        <v>1.68385</v>
      </c>
      <c r="AV219" s="33">
        <f t="shared" si="3"/>
        <v>2.189005</v>
      </c>
      <c r="AW219" s="34"/>
      <c r="AX219" s="32">
        <f>120.39/100</f>
        <v>1.2039</v>
      </c>
      <c r="AY219" s="46" t="s">
        <v>1566</v>
      </c>
      <c r="AZ219" s="34"/>
      <c r="BA219" s="30"/>
      <c r="BB219" s="30"/>
      <c r="BC219" s="35"/>
      <c r="BD219" s="32">
        <f>216.38/100</f>
        <v>2.1638</v>
      </c>
      <c r="BE219" s="46" t="s">
        <v>1567</v>
      </c>
      <c r="BF219" s="31"/>
      <c r="BG219" s="30"/>
      <c r="BH219" s="30"/>
      <c r="BI219" s="31"/>
      <c r="BJ219" s="32"/>
      <c r="BK219" s="31"/>
      <c r="BL219" s="30"/>
      <c r="BM219" s="30"/>
    </row>
    <row r="220">
      <c r="A220" s="18" t="s">
        <v>25</v>
      </c>
      <c r="B220" s="18" t="s">
        <v>1568</v>
      </c>
      <c r="C220" s="19" t="s">
        <v>1569</v>
      </c>
      <c r="D220" s="19" t="s">
        <v>67</v>
      </c>
      <c r="E220" s="19" t="s">
        <v>68</v>
      </c>
      <c r="F220" s="20">
        <v>2.0</v>
      </c>
      <c r="G220" s="21">
        <v>2.0</v>
      </c>
      <c r="H220" s="21">
        <v>93.0</v>
      </c>
      <c r="I220" s="21">
        <v>186.0</v>
      </c>
      <c r="J220" s="45"/>
      <c r="K220" s="23">
        <v>0.16</v>
      </c>
      <c r="L220" s="24">
        <v>219.0</v>
      </c>
      <c r="M220" s="25" t="s">
        <v>69</v>
      </c>
      <c r="N220" s="25" t="s">
        <v>70</v>
      </c>
      <c r="O220" s="25">
        <v>2.1000000167E10</v>
      </c>
      <c r="P220" s="26" t="s">
        <v>1570</v>
      </c>
      <c r="Q220" s="27" t="s">
        <v>1571</v>
      </c>
      <c r="R220" s="28" t="s">
        <v>79</v>
      </c>
      <c r="S220" s="29">
        <f t="shared" si="1"/>
        <v>1000</v>
      </c>
      <c r="T220" s="30"/>
      <c r="U220" s="30"/>
      <c r="V220" s="30"/>
      <c r="W220" s="30"/>
      <c r="X220" s="30"/>
      <c r="Y220" s="30"/>
      <c r="Z220" s="28">
        <v>1000.0</v>
      </c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1"/>
      <c r="AT220" s="38" t="s">
        <v>678</v>
      </c>
      <c r="AU220" s="32">
        <f t="shared" si="2"/>
        <v>0.1319533333</v>
      </c>
      <c r="AV220" s="33">
        <f t="shared" si="3"/>
        <v>0.1715393333</v>
      </c>
      <c r="AW220" s="34"/>
      <c r="AX220" s="32">
        <f>53.78/500</f>
        <v>0.10756</v>
      </c>
      <c r="AY220" s="46" t="s">
        <v>1572</v>
      </c>
      <c r="AZ220" s="34"/>
      <c r="BA220" s="30"/>
      <c r="BB220" s="30"/>
      <c r="BC220" s="35"/>
      <c r="BD220" s="32">
        <f>87.15/500</f>
        <v>0.1743</v>
      </c>
      <c r="BE220" s="46" t="s">
        <v>1573</v>
      </c>
      <c r="BF220" s="31"/>
      <c r="BG220" s="30"/>
      <c r="BH220" s="30"/>
      <c r="BI220" s="31"/>
      <c r="BJ220" s="32">
        <f>57/500</f>
        <v>0.114</v>
      </c>
      <c r="BK220" s="46" t="s">
        <v>1574</v>
      </c>
      <c r="BL220" s="30"/>
      <c r="BM220" s="30"/>
    </row>
    <row r="221">
      <c r="A221" s="18" t="s">
        <v>25</v>
      </c>
      <c r="B221" s="18" t="s">
        <v>1575</v>
      </c>
      <c r="C221" s="19" t="s">
        <v>1576</v>
      </c>
      <c r="D221" s="19" t="s">
        <v>67</v>
      </c>
      <c r="E221" s="19" t="s">
        <v>68</v>
      </c>
      <c r="F221" s="20">
        <v>500.0</v>
      </c>
      <c r="G221" s="21">
        <v>1.0</v>
      </c>
      <c r="H221" s="21">
        <v>133.0</v>
      </c>
      <c r="I221" s="21">
        <v>133.0</v>
      </c>
      <c r="J221" s="45"/>
      <c r="K221" s="23">
        <v>0.38</v>
      </c>
      <c r="L221" s="24">
        <v>220.0</v>
      </c>
      <c r="M221" s="25" t="s">
        <v>69</v>
      </c>
      <c r="N221" s="25" t="s">
        <v>70</v>
      </c>
      <c r="O221" s="25">
        <v>2.1000000169E10</v>
      </c>
      <c r="P221" s="26" t="s">
        <v>1577</v>
      </c>
      <c r="Q221" s="27" t="s">
        <v>1578</v>
      </c>
      <c r="R221" s="28" t="s">
        <v>79</v>
      </c>
      <c r="S221" s="29">
        <f t="shared" si="1"/>
        <v>500</v>
      </c>
      <c r="T221" s="30"/>
      <c r="U221" s="30"/>
      <c r="V221" s="30"/>
      <c r="W221" s="30"/>
      <c r="X221" s="30"/>
      <c r="Y221" s="30"/>
      <c r="Z221" s="28">
        <v>500.0</v>
      </c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1"/>
      <c r="AT221" s="38" t="s">
        <v>678</v>
      </c>
      <c r="AU221" s="32">
        <f t="shared" si="2"/>
        <v>0.29844</v>
      </c>
      <c r="AV221" s="33">
        <f t="shared" si="3"/>
        <v>0.387972</v>
      </c>
      <c r="AW221" s="34"/>
      <c r="AX221" s="32">
        <f>149.22/500</f>
        <v>0.29844</v>
      </c>
      <c r="AY221" s="46" t="s">
        <v>1579</v>
      </c>
      <c r="AZ221" s="34"/>
      <c r="BA221" s="30"/>
      <c r="BB221" s="30"/>
      <c r="BC221" s="35"/>
      <c r="BD221" s="32"/>
      <c r="BE221" s="31"/>
      <c r="BF221" s="31"/>
      <c r="BG221" s="30"/>
      <c r="BH221" s="30"/>
      <c r="BI221" s="31"/>
      <c r="BJ221" s="32"/>
      <c r="BK221" s="31"/>
      <c r="BL221" s="30"/>
      <c r="BM221" s="30"/>
    </row>
    <row r="222">
      <c r="A222" s="18" t="s">
        <v>41</v>
      </c>
      <c r="B222" s="18" t="s">
        <v>1580</v>
      </c>
      <c r="C222" s="19" t="s">
        <v>1581</v>
      </c>
      <c r="D222" s="19" t="s">
        <v>67</v>
      </c>
      <c r="E222" s="19" t="s">
        <v>68</v>
      </c>
      <c r="F222" s="20">
        <v>50.0</v>
      </c>
      <c r="G222" s="21">
        <v>50.0</v>
      </c>
      <c r="H222" s="21">
        <v>20.0</v>
      </c>
      <c r="I222" s="21">
        <v>1000.0</v>
      </c>
      <c r="J222" s="45"/>
      <c r="K222" s="23">
        <v>12.77</v>
      </c>
      <c r="L222" s="24">
        <v>221.0</v>
      </c>
      <c r="M222" s="25" t="s">
        <v>69</v>
      </c>
      <c r="N222" s="25" t="s">
        <v>70</v>
      </c>
      <c r="O222" s="25">
        <v>2.1000000173E10</v>
      </c>
      <c r="P222" s="26" t="s">
        <v>1582</v>
      </c>
      <c r="Q222" s="27" t="s">
        <v>1583</v>
      </c>
      <c r="R222" s="28" t="s">
        <v>79</v>
      </c>
      <c r="S222" s="29">
        <f t="shared" si="1"/>
        <v>75</v>
      </c>
      <c r="T222" s="30"/>
      <c r="U222" s="30"/>
      <c r="V222" s="30"/>
      <c r="W222" s="30"/>
      <c r="X222" s="30"/>
      <c r="Y222" s="30"/>
      <c r="Z222" s="38">
        <v>25.0</v>
      </c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29">
        <v>50.0</v>
      </c>
      <c r="AQ222" s="30"/>
      <c r="AR222" s="30"/>
      <c r="AS222" s="31"/>
      <c r="AT222" s="38" t="s">
        <v>678</v>
      </c>
      <c r="AU222" s="32">
        <f t="shared" si="2"/>
        <v>11.24613333</v>
      </c>
      <c r="AV222" s="33">
        <f t="shared" si="3"/>
        <v>14.61997333</v>
      </c>
      <c r="AW222" s="34"/>
      <c r="AX222" s="32">
        <f>284.21/25</f>
        <v>11.3684</v>
      </c>
      <c r="AY222" s="46" t="s">
        <v>1584</v>
      </c>
      <c r="AZ222" s="34"/>
      <c r="BA222" s="30"/>
      <c r="BB222" s="30"/>
      <c r="BC222" s="35"/>
      <c r="BD222" s="32">
        <f>269.25/25</f>
        <v>10.77</v>
      </c>
      <c r="BE222" s="46" t="s">
        <v>1585</v>
      </c>
      <c r="BF222" s="31"/>
      <c r="BG222" s="30"/>
      <c r="BH222" s="30"/>
      <c r="BI222" s="31"/>
      <c r="BJ222" s="32">
        <f>290/25</f>
        <v>11.6</v>
      </c>
      <c r="BK222" s="46" t="s">
        <v>1586</v>
      </c>
      <c r="BL222" s="30"/>
      <c r="BM222" s="30"/>
    </row>
    <row r="223">
      <c r="A223" s="18" t="s">
        <v>25</v>
      </c>
      <c r="B223" s="18" t="s">
        <v>1587</v>
      </c>
      <c r="C223" s="19" t="s">
        <v>1588</v>
      </c>
      <c r="D223" s="19" t="s">
        <v>67</v>
      </c>
      <c r="E223" s="19" t="s">
        <v>68</v>
      </c>
      <c r="F223" s="20">
        <v>2000.0</v>
      </c>
      <c r="G223" s="21">
        <v>4.0</v>
      </c>
      <c r="H223" s="21">
        <v>0.0</v>
      </c>
      <c r="I223" s="21">
        <v>0.0</v>
      </c>
      <c r="J223" s="45"/>
      <c r="K223" s="23">
        <v>0.07</v>
      </c>
      <c r="L223" s="24">
        <v>222.0</v>
      </c>
      <c r="M223" s="25" t="s">
        <v>69</v>
      </c>
      <c r="N223" s="25" t="s">
        <v>70</v>
      </c>
      <c r="O223" s="25">
        <v>2.1000000176E10</v>
      </c>
      <c r="P223" s="26" t="s">
        <v>1589</v>
      </c>
      <c r="Q223" s="27" t="s">
        <v>1590</v>
      </c>
      <c r="R223" s="28" t="s">
        <v>79</v>
      </c>
      <c r="S223" s="29">
        <f t="shared" si="1"/>
        <v>4500</v>
      </c>
      <c r="T223" s="30"/>
      <c r="U223" s="30"/>
      <c r="V223" s="30"/>
      <c r="W223" s="30"/>
      <c r="X223" s="30"/>
      <c r="Y223" s="30"/>
      <c r="Z223" s="28">
        <v>2000.0</v>
      </c>
      <c r="AA223" s="30"/>
      <c r="AB223" s="30"/>
      <c r="AC223" s="38">
        <v>2500.0</v>
      </c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1"/>
      <c r="AT223" s="38" t="s">
        <v>678</v>
      </c>
      <c r="AU223" s="32">
        <f t="shared" si="2"/>
        <v>0.05998666667</v>
      </c>
      <c r="AV223" s="33">
        <f t="shared" si="3"/>
        <v>0.07798266667</v>
      </c>
      <c r="AW223" s="34"/>
      <c r="AX223" s="32">
        <f>30.19/500</f>
        <v>0.06038</v>
      </c>
      <c r="AY223" s="46" t="s">
        <v>1591</v>
      </c>
      <c r="AZ223" s="34"/>
      <c r="BA223" s="30"/>
      <c r="BB223" s="30"/>
      <c r="BC223" s="35"/>
      <c r="BD223" s="32">
        <f>29.79/500</f>
        <v>0.05958</v>
      </c>
      <c r="BE223" s="46" t="s">
        <v>1592</v>
      </c>
      <c r="BF223" s="31"/>
      <c r="BG223" s="30"/>
      <c r="BH223" s="30"/>
      <c r="BI223" s="31"/>
      <c r="BJ223" s="32">
        <f>30/500</f>
        <v>0.06</v>
      </c>
      <c r="BK223" s="46" t="s">
        <v>1593</v>
      </c>
      <c r="BL223" s="30"/>
      <c r="BM223" s="30"/>
    </row>
    <row r="224">
      <c r="A224" s="18" t="s">
        <v>41</v>
      </c>
      <c r="B224" s="18" t="s">
        <v>1594</v>
      </c>
      <c r="C224" s="19" t="s">
        <v>1595</v>
      </c>
      <c r="D224" s="19" t="s">
        <v>67</v>
      </c>
      <c r="E224" s="19" t="s">
        <v>68</v>
      </c>
      <c r="F224" s="20">
        <v>500.0</v>
      </c>
      <c r="G224" s="21">
        <v>500.0</v>
      </c>
      <c r="H224" s="21">
        <v>0.12</v>
      </c>
      <c r="I224" s="21">
        <v>60.0</v>
      </c>
      <c r="J224" s="45"/>
      <c r="K224" s="23">
        <v>0.14</v>
      </c>
      <c r="L224" s="24">
        <v>223.0</v>
      </c>
      <c r="M224" s="25" t="s">
        <v>69</v>
      </c>
      <c r="N224" s="25" t="s">
        <v>70</v>
      </c>
      <c r="O224" s="25">
        <v>2.1000000179E10</v>
      </c>
      <c r="P224" s="26" t="s">
        <v>1596</v>
      </c>
      <c r="Q224" s="27" t="s">
        <v>1597</v>
      </c>
      <c r="R224" s="28" t="s">
        <v>79</v>
      </c>
      <c r="S224" s="29">
        <f t="shared" si="1"/>
        <v>1000</v>
      </c>
      <c r="T224" s="30"/>
      <c r="U224" s="30"/>
      <c r="V224" s="30"/>
      <c r="W224" s="30"/>
      <c r="X224" s="30"/>
      <c r="Y224" s="30"/>
      <c r="Z224" s="38">
        <v>500.0</v>
      </c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29">
        <v>500.0</v>
      </c>
      <c r="AQ224" s="30"/>
      <c r="AR224" s="30"/>
      <c r="AS224" s="31"/>
      <c r="AT224" s="38" t="s">
        <v>678</v>
      </c>
      <c r="AU224" s="32">
        <f t="shared" si="2"/>
        <v>0.1279733333</v>
      </c>
      <c r="AV224" s="33">
        <f t="shared" si="3"/>
        <v>0.1663653333</v>
      </c>
      <c r="AW224" s="34"/>
      <c r="AX224" s="32">
        <f>57.63/500</f>
        <v>0.11526</v>
      </c>
      <c r="AY224" s="46" t="s">
        <v>1598</v>
      </c>
      <c r="AZ224" s="34"/>
      <c r="BA224" s="30"/>
      <c r="BB224" s="30"/>
      <c r="BC224" s="35"/>
      <c r="BD224" s="32">
        <f>73.5/500</f>
        <v>0.147</v>
      </c>
      <c r="BE224" s="46" t="s">
        <v>1599</v>
      </c>
      <c r="BF224" s="31"/>
      <c r="BG224" s="30"/>
      <c r="BH224" s="30"/>
      <c r="BI224" s="31"/>
      <c r="BJ224" s="32">
        <f>60.83/500</f>
        <v>0.12166</v>
      </c>
      <c r="BK224" s="46" t="s">
        <v>1600</v>
      </c>
      <c r="BL224" s="30"/>
      <c r="BM224" s="30"/>
    </row>
    <row r="225">
      <c r="A225" s="18" t="s">
        <v>41</v>
      </c>
      <c r="B225" s="48" t="s">
        <v>1601</v>
      </c>
      <c r="C225" s="19" t="s">
        <v>1602</v>
      </c>
      <c r="D225" s="19" t="s">
        <v>67</v>
      </c>
      <c r="E225" s="19" t="s">
        <v>68</v>
      </c>
      <c r="F225" s="20">
        <v>100.0</v>
      </c>
      <c r="G225" s="21">
        <v>100.0</v>
      </c>
      <c r="H225" s="21">
        <v>6.8</v>
      </c>
      <c r="I225" s="21">
        <v>680.0</v>
      </c>
      <c r="J225" s="36"/>
      <c r="K225" s="23">
        <v>7.26</v>
      </c>
      <c r="L225" s="24">
        <v>224.0</v>
      </c>
      <c r="M225" s="25" t="s">
        <v>69</v>
      </c>
      <c r="N225" s="25" t="s">
        <v>70</v>
      </c>
      <c r="O225" s="25">
        <v>2.1000000657E10</v>
      </c>
      <c r="P225" s="26" t="s">
        <v>1603</v>
      </c>
      <c r="Q225" s="27" t="s">
        <v>1604</v>
      </c>
      <c r="R225" s="28" t="s">
        <v>79</v>
      </c>
      <c r="S225" s="29">
        <f t="shared" si="1"/>
        <v>100</v>
      </c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29">
        <v>100.0</v>
      </c>
      <c r="AQ225" s="30"/>
      <c r="AR225" s="30"/>
      <c r="AS225" s="31"/>
      <c r="AT225" s="38" t="s">
        <v>678</v>
      </c>
      <c r="AU225" s="32">
        <f t="shared" si="2"/>
        <v>7.148933333</v>
      </c>
      <c r="AV225" s="33">
        <f t="shared" si="3"/>
        <v>9.293613333</v>
      </c>
      <c r="AW225" s="34"/>
      <c r="AX225" s="32">
        <f>612.14/100</f>
        <v>6.1214</v>
      </c>
      <c r="AY225" s="46" t="s">
        <v>1605</v>
      </c>
      <c r="AZ225" s="34"/>
      <c r="BA225" s="30"/>
      <c r="BB225" s="30"/>
      <c r="BC225" s="35"/>
      <c r="BD225" s="32">
        <f>894.89/100</f>
        <v>8.9489</v>
      </c>
      <c r="BE225" s="46" t="s">
        <v>1606</v>
      </c>
      <c r="BF225" s="31"/>
      <c r="BG225" s="30"/>
      <c r="BH225" s="30"/>
      <c r="BI225" s="31"/>
      <c r="BJ225" s="32">
        <f>637.65/100</f>
        <v>6.3765</v>
      </c>
      <c r="BK225" s="46" t="s">
        <v>1607</v>
      </c>
      <c r="BL225" s="30"/>
      <c r="BM225" s="30"/>
    </row>
    <row r="226">
      <c r="A226" s="18" t="s">
        <v>41</v>
      </c>
      <c r="B226" s="18" t="s">
        <v>1608</v>
      </c>
      <c r="C226" s="19" t="s">
        <v>1609</v>
      </c>
      <c r="D226" s="19" t="s">
        <v>67</v>
      </c>
      <c r="E226" s="19" t="s">
        <v>68</v>
      </c>
      <c r="F226" s="20">
        <v>500.0</v>
      </c>
      <c r="G226" s="21">
        <v>500.0</v>
      </c>
      <c r="H226" s="21">
        <v>0.09</v>
      </c>
      <c r="I226" s="21">
        <v>45.0</v>
      </c>
      <c r="J226" s="45"/>
      <c r="K226" s="23">
        <v>0.15</v>
      </c>
      <c r="L226" s="24">
        <v>225.0</v>
      </c>
      <c r="M226" s="25" t="s">
        <v>69</v>
      </c>
      <c r="N226" s="25" t="s">
        <v>70</v>
      </c>
      <c r="O226" s="25">
        <v>2.1000000251E10</v>
      </c>
      <c r="P226" s="26" t="s">
        <v>1610</v>
      </c>
      <c r="Q226" s="27" t="s">
        <v>1611</v>
      </c>
      <c r="R226" s="28" t="s">
        <v>79</v>
      </c>
      <c r="S226" s="28">
        <f t="shared" si="1"/>
        <v>1500</v>
      </c>
      <c r="T226" s="30"/>
      <c r="U226" s="30"/>
      <c r="V226" s="30"/>
      <c r="W226" s="30"/>
      <c r="X226" s="30"/>
      <c r="Y226" s="30"/>
      <c r="Z226" s="38">
        <v>500.0</v>
      </c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28">
        <v>1000.0</v>
      </c>
      <c r="AQ226" s="30"/>
      <c r="AR226" s="30"/>
      <c r="AS226" s="31"/>
      <c r="AT226" s="38" t="s">
        <v>678</v>
      </c>
      <c r="AU226" s="32">
        <f t="shared" si="2"/>
        <v>0.1270933333</v>
      </c>
      <c r="AV226" s="33">
        <f t="shared" si="3"/>
        <v>0.1652213333</v>
      </c>
      <c r="AW226" s="34"/>
      <c r="AX226" s="32">
        <f>39.51/500</f>
        <v>0.07902</v>
      </c>
      <c r="AY226" s="46" t="s">
        <v>1612</v>
      </c>
      <c r="AZ226" s="34"/>
      <c r="BA226" s="30"/>
      <c r="BB226" s="30"/>
      <c r="BC226" s="35"/>
      <c r="BD226" s="32">
        <f>84.75/500</f>
        <v>0.1695</v>
      </c>
      <c r="BE226" s="46" t="s">
        <v>1613</v>
      </c>
      <c r="BF226" s="31"/>
      <c r="BG226" s="30"/>
      <c r="BH226" s="30"/>
      <c r="BI226" s="31"/>
      <c r="BJ226" s="32">
        <f>66.38/500</f>
        <v>0.13276</v>
      </c>
      <c r="BK226" s="46" t="s">
        <v>1614</v>
      </c>
      <c r="BL226" s="30"/>
      <c r="BM226" s="30"/>
    </row>
    <row r="227">
      <c r="A227" s="18" t="s">
        <v>25</v>
      </c>
      <c r="B227" s="48" t="s">
        <v>1615</v>
      </c>
      <c r="C227" s="19" t="s">
        <v>1616</v>
      </c>
      <c r="D227" s="19" t="s">
        <v>67</v>
      </c>
      <c r="E227" s="19" t="s">
        <v>68</v>
      </c>
      <c r="F227" s="20">
        <v>500.0</v>
      </c>
      <c r="G227" s="21">
        <v>1.0</v>
      </c>
      <c r="H227" s="21">
        <v>0.0</v>
      </c>
      <c r="I227" s="21">
        <v>0.0</v>
      </c>
      <c r="J227" s="45"/>
      <c r="K227" s="23">
        <v>0.18</v>
      </c>
      <c r="L227" s="24">
        <v>226.0</v>
      </c>
      <c r="M227" s="25" t="s">
        <v>69</v>
      </c>
      <c r="N227" s="25" t="s">
        <v>70</v>
      </c>
      <c r="O227" s="25">
        <v>2.1000000562E10</v>
      </c>
      <c r="P227" s="26" t="s">
        <v>1617</v>
      </c>
      <c r="Q227" s="27" t="s">
        <v>1618</v>
      </c>
      <c r="R227" s="28" t="s">
        <v>79</v>
      </c>
      <c r="S227" s="29">
        <f t="shared" si="1"/>
        <v>500</v>
      </c>
      <c r="T227" s="30"/>
      <c r="U227" s="30"/>
      <c r="V227" s="30"/>
      <c r="W227" s="30"/>
      <c r="X227" s="30"/>
      <c r="Y227" s="30"/>
      <c r="Z227" s="28">
        <v>500.0</v>
      </c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1"/>
      <c r="AT227" s="38" t="s">
        <v>678</v>
      </c>
      <c r="AU227" s="32">
        <f t="shared" si="2"/>
        <v>0.1681933333</v>
      </c>
      <c r="AV227" s="33">
        <f t="shared" si="3"/>
        <v>0.2186513333</v>
      </c>
      <c r="AW227" s="34"/>
      <c r="AX227" s="32">
        <f>92/500</f>
        <v>0.184</v>
      </c>
      <c r="AY227" s="46" t="s">
        <v>1619</v>
      </c>
      <c r="AZ227" s="34"/>
      <c r="BA227" s="30"/>
      <c r="BB227" s="30"/>
      <c r="BC227" s="35"/>
      <c r="BD227" s="32">
        <f>63.09/500</f>
        <v>0.12618</v>
      </c>
      <c r="BE227" s="46" t="s">
        <v>1620</v>
      </c>
      <c r="BF227" s="31"/>
      <c r="BG227" s="30"/>
      <c r="BH227" s="30"/>
      <c r="BI227" s="31"/>
      <c r="BJ227" s="32">
        <f>97.2/500</f>
        <v>0.1944</v>
      </c>
      <c r="BK227" s="46" t="s">
        <v>1621</v>
      </c>
      <c r="BL227" s="30"/>
      <c r="BM227" s="30"/>
    </row>
    <row r="228">
      <c r="A228" s="18" t="s">
        <v>41</v>
      </c>
      <c r="B228" s="18" t="s">
        <v>1622</v>
      </c>
      <c r="C228" s="19" t="s">
        <v>1623</v>
      </c>
      <c r="D228" s="19" t="s">
        <v>67</v>
      </c>
      <c r="E228" s="19" t="s">
        <v>68</v>
      </c>
      <c r="F228" s="20">
        <v>500.0</v>
      </c>
      <c r="G228" s="21">
        <v>500.0</v>
      </c>
      <c r="H228" s="21">
        <v>0.04</v>
      </c>
      <c r="I228" s="21">
        <v>20.0</v>
      </c>
      <c r="J228" s="45"/>
      <c r="K228" s="23">
        <v>0.04</v>
      </c>
      <c r="L228" s="24">
        <v>227.0</v>
      </c>
      <c r="M228" s="25" t="s">
        <v>69</v>
      </c>
      <c r="N228" s="25" t="s">
        <v>70</v>
      </c>
      <c r="O228" s="25">
        <v>2.1000000253E10</v>
      </c>
      <c r="P228" s="26" t="s">
        <v>1624</v>
      </c>
      <c r="Q228" s="27" t="s">
        <v>1625</v>
      </c>
      <c r="R228" s="28" t="s">
        <v>79</v>
      </c>
      <c r="S228" s="29">
        <f t="shared" si="1"/>
        <v>1000</v>
      </c>
      <c r="T228" s="30"/>
      <c r="U228" s="30"/>
      <c r="V228" s="30"/>
      <c r="W228" s="30"/>
      <c r="X228" s="30"/>
      <c r="Y228" s="30"/>
      <c r="Z228" s="38">
        <v>500.0</v>
      </c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29">
        <v>500.0</v>
      </c>
      <c r="AQ228" s="30"/>
      <c r="AR228" s="30"/>
      <c r="AS228" s="31"/>
      <c r="AT228" s="38" t="s">
        <v>678</v>
      </c>
      <c r="AU228" s="32">
        <f t="shared" si="2"/>
        <v>0.04189333333</v>
      </c>
      <c r="AV228" s="33">
        <f t="shared" si="3"/>
        <v>0.05446133333</v>
      </c>
      <c r="AW228" s="34"/>
      <c r="AX228" s="32">
        <f>18.92/500</f>
        <v>0.03784</v>
      </c>
      <c r="AY228" s="46" t="s">
        <v>1626</v>
      </c>
      <c r="AZ228" s="34"/>
      <c r="BA228" s="30"/>
      <c r="BB228" s="30"/>
      <c r="BC228" s="35"/>
      <c r="BD228" s="32">
        <f>25.99/500</f>
        <v>0.05198</v>
      </c>
      <c r="BE228" s="46" t="s">
        <v>1627</v>
      </c>
      <c r="BF228" s="31"/>
      <c r="BG228" s="30"/>
      <c r="BH228" s="30"/>
      <c r="BI228" s="31"/>
      <c r="BJ228" s="32">
        <f>17.93/500</f>
        <v>0.03586</v>
      </c>
      <c r="BK228" s="46" t="s">
        <v>1628</v>
      </c>
      <c r="BL228" s="30"/>
      <c r="BM228" s="30"/>
    </row>
    <row r="229">
      <c r="A229" s="18" t="s">
        <v>25</v>
      </c>
      <c r="B229" s="48" t="s">
        <v>1629</v>
      </c>
      <c r="C229" s="19">
        <v>486260.0</v>
      </c>
      <c r="D229" s="19" t="s">
        <v>67</v>
      </c>
      <c r="E229" s="19" t="s">
        <v>68</v>
      </c>
      <c r="F229" s="20">
        <v>1000.0</v>
      </c>
      <c r="G229" s="21">
        <v>2.0</v>
      </c>
      <c r="H229" s="21">
        <v>0.0</v>
      </c>
      <c r="I229" s="21">
        <v>0.0</v>
      </c>
      <c r="J229" s="45"/>
      <c r="K229" s="23">
        <v>0.3</v>
      </c>
      <c r="L229" s="24">
        <v>228.0</v>
      </c>
      <c r="M229" s="25" t="s">
        <v>69</v>
      </c>
      <c r="N229" s="25" t="s">
        <v>70</v>
      </c>
      <c r="O229" s="25">
        <v>2.1000000563E10</v>
      </c>
      <c r="P229" s="26" t="s">
        <v>1630</v>
      </c>
      <c r="Q229" s="27" t="s">
        <v>1631</v>
      </c>
      <c r="R229" s="28" t="s">
        <v>79</v>
      </c>
      <c r="S229" s="29">
        <f t="shared" si="1"/>
        <v>1000</v>
      </c>
      <c r="T229" s="30"/>
      <c r="U229" s="30"/>
      <c r="V229" s="30"/>
      <c r="W229" s="30"/>
      <c r="X229" s="30"/>
      <c r="Y229" s="30"/>
      <c r="Z229" s="28">
        <v>1000.0</v>
      </c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1"/>
      <c r="AT229" s="38" t="s">
        <v>678</v>
      </c>
      <c r="AU229" s="32">
        <f t="shared" si="2"/>
        <v>0.1979866667</v>
      </c>
      <c r="AV229" s="33">
        <f t="shared" si="3"/>
        <v>0.2573826667</v>
      </c>
      <c r="AW229" s="34"/>
      <c r="AX229" s="32">
        <f>129.35/500</f>
        <v>0.2587</v>
      </c>
      <c r="AY229" s="46" t="s">
        <v>1632</v>
      </c>
      <c r="AZ229" s="34"/>
      <c r="BA229" s="30"/>
      <c r="BB229" s="30"/>
      <c r="BC229" s="35"/>
      <c r="BD229" s="32">
        <f>122.54/500</f>
        <v>0.24508</v>
      </c>
      <c r="BE229" s="46" t="s">
        <v>1633</v>
      </c>
      <c r="BF229" s="31"/>
      <c r="BG229" s="30"/>
      <c r="BH229" s="30"/>
      <c r="BI229" s="31"/>
      <c r="BJ229" s="32">
        <f>45.09/500</f>
        <v>0.09018</v>
      </c>
      <c r="BK229" s="46" t="s">
        <v>1634</v>
      </c>
      <c r="BL229" s="30"/>
      <c r="BM229" s="30"/>
    </row>
    <row r="230">
      <c r="A230" s="18" t="s">
        <v>39</v>
      </c>
      <c r="B230" s="18" t="s">
        <v>1635</v>
      </c>
      <c r="C230" s="19" t="s">
        <v>1636</v>
      </c>
      <c r="D230" s="19" t="s">
        <v>67</v>
      </c>
      <c r="E230" s="19" t="s">
        <v>68</v>
      </c>
      <c r="F230" s="20">
        <v>2.0</v>
      </c>
      <c r="G230" s="21">
        <v>1.0</v>
      </c>
      <c r="H230" s="21">
        <v>300.0</v>
      </c>
      <c r="I230" s="21">
        <v>300.0</v>
      </c>
      <c r="J230" s="45"/>
      <c r="K230" s="23">
        <v>360.96</v>
      </c>
      <c r="L230" s="24">
        <v>229.0</v>
      </c>
      <c r="M230" s="25" t="s">
        <v>69</v>
      </c>
      <c r="N230" s="25" t="s">
        <v>70</v>
      </c>
      <c r="O230" s="25">
        <v>2.1000000483E10</v>
      </c>
      <c r="P230" s="26" t="s">
        <v>1637</v>
      </c>
      <c r="Q230" s="27" t="s">
        <v>1638</v>
      </c>
      <c r="R230" s="28" t="s">
        <v>1042</v>
      </c>
      <c r="S230" s="29">
        <f t="shared" si="1"/>
        <v>1</v>
      </c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28">
        <v>1.0</v>
      </c>
      <c r="AO230" s="30"/>
      <c r="AP230" s="30"/>
      <c r="AQ230" s="30"/>
      <c r="AR230" s="30"/>
      <c r="AS230" s="31"/>
      <c r="AT230" s="38" t="s">
        <v>678</v>
      </c>
      <c r="AU230" s="32">
        <f t="shared" si="2"/>
        <v>14.871</v>
      </c>
      <c r="AV230" s="33">
        <f t="shared" si="3"/>
        <v>19.3323</v>
      </c>
      <c r="AW230" s="34"/>
      <c r="AX230" s="32">
        <f>148.71/10</f>
        <v>14.871</v>
      </c>
      <c r="AY230" s="46" t="s">
        <v>1639</v>
      </c>
      <c r="AZ230" s="34"/>
      <c r="BA230" s="30"/>
      <c r="BB230" s="30"/>
      <c r="BC230" s="35"/>
      <c r="BD230" s="32"/>
      <c r="BE230" s="31"/>
      <c r="BF230" s="31"/>
      <c r="BG230" s="30"/>
      <c r="BH230" s="30"/>
      <c r="BI230" s="31"/>
      <c r="BJ230" s="32"/>
      <c r="BK230" s="31"/>
      <c r="BL230" s="30"/>
      <c r="BM230" s="30"/>
    </row>
    <row r="231">
      <c r="A231" s="18" t="s">
        <v>25</v>
      </c>
      <c r="B231" s="18" t="s">
        <v>1640</v>
      </c>
      <c r="C231" s="19" t="s">
        <v>1641</v>
      </c>
      <c r="D231" s="19" t="s">
        <v>67</v>
      </c>
      <c r="E231" s="19" t="s">
        <v>68</v>
      </c>
      <c r="F231" s="20">
        <v>100.0</v>
      </c>
      <c r="G231" s="21">
        <v>1.0</v>
      </c>
      <c r="H231" s="21">
        <v>5.0</v>
      </c>
      <c r="I231" s="21">
        <v>5.0</v>
      </c>
      <c r="J231" s="45"/>
      <c r="K231" s="23">
        <v>7.61</v>
      </c>
      <c r="L231" s="24">
        <v>230.0</v>
      </c>
      <c r="M231" s="25" t="s">
        <v>69</v>
      </c>
      <c r="N231" s="25" t="s">
        <v>70</v>
      </c>
      <c r="O231" s="25">
        <v>2.1000000361E10</v>
      </c>
      <c r="P231" s="26" t="s">
        <v>1642</v>
      </c>
      <c r="Q231" s="27" t="s">
        <v>1643</v>
      </c>
      <c r="R231" s="28" t="s">
        <v>79</v>
      </c>
      <c r="S231" s="29">
        <f t="shared" si="1"/>
        <v>100</v>
      </c>
      <c r="T231" s="30"/>
      <c r="U231" s="30"/>
      <c r="V231" s="30"/>
      <c r="W231" s="30"/>
      <c r="X231" s="30"/>
      <c r="Y231" s="30"/>
      <c r="Z231" s="28">
        <v>100.0</v>
      </c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1"/>
      <c r="AT231" s="38" t="s">
        <v>678</v>
      </c>
      <c r="AU231" s="32">
        <f t="shared" si="2"/>
        <v>3.0518</v>
      </c>
      <c r="AV231" s="33">
        <f t="shared" si="3"/>
        <v>3.96734</v>
      </c>
      <c r="AW231" s="34"/>
      <c r="AX231" s="32">
        <f>305.18/100</f>
        <v>3.0518</v>
      </c>
      <c r="AY231" s="46" t="s">
        <v>1644</v>
      </c>
      <c r="AZ231" s="34"/>
      <c r="BA231" s="30"/>
      <c r="BB231" s="30"/>
      <c r="BC231" s="35"/>
      <c r="BD231" s="32"/>
      <c r="BE231" s="31"/>
      <c r="BF231" s="31"/>
      <c r="BG231" s="30"/>
      <c r="BH231" s="30"/>
      <c r="BI231" s="31"/>
      <c r="BJ231" s="32"/>
      <c r="BK231" s="31"/>
      <c r="BL231" s="30"/>
      <c r="BM231" s="30"/>
    </row>
    <row r="232">
      <c r="A232" s="18" t="s">
        <v>25</v>
      </c>
      <c r="B232" s="18" t="s">
        <v>1645</v>
      </c>
      <c r="C232" s="19" t="s">
        <v>1646</v>
      </c>
      <c r="D232" s="19" t="s">
        <v>67</v>
      </c>
      <c r="E232" s="19" t="s">
        <v>68</v>
      </c>
      <c r="F232" s="20">
        <v>100.0</v>
      </c>
      <c r="G232" s="21">
        <v>1.0</v>
      </c>
      <c r="H232" s="21">
        <v>4.0</v>
      </c>
      <c r="I232" s="21">
        <v>4.0</v>
      </c>
      <c r="J232" s="45"/>
      <c r="K232" s="89">
        <v>1.34</v>
      </c>
      <c r="L232" s="51">
        <v>231.0</v>
      </c>
      <c r="M232" s="25" t="s">
        <v>69</v>
      </c>
      <c r="N232" s="25" t="s">
        <v>70</v>
      </c>
      <c r="O232" s="25">
        <v>2.1000000393E10</v>
      </c>
      <c r="P232" s="26" t="s">
        <v>1647</v>
      </c>
      <c r="Q232" s="27" t="s">
        <v>1648</v>
      </c>
      <c r="R232" s="28" t="s">
        <v>79</v>
      </c>
      <c r="S232" s="29">
        <f t="shared" si="1"/>
        <v>100</v>
      </c>
      <c r="T232" s="30"/>
      <c r="U232" s="30"/>
      <c r="V232" s="30"/>
      <c r="W232" s="30"/>
      <c r="X232" s="30"/>
      <c r="Y232" s="30"/>
      <c r="Z232" s="28">
        <v>100.0</v>
      </c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1"/>
      <c r="AT232" s="38" t="s">
        <v>678</v>
      </c>
      <c r="AU232" s="32">
        <f t="shared" si="2"/>
        <v>1.311333333</v>
      </c>
      <c r="AV232" s="33">
        <f t="shared" si="3"/>
        <v>1.704733333</v>
      </c>
      <c r="AW232" s="34"/>
      <c r="AX232" s="32">
        <f>86.76/100</f>
        <v>0.8676</v>
      </c>
      <c r="AY232" s="46" t="s">
        <v>1649</v>
      </c>
      <c r="AZ232" s="34"/>
      <c r="BA232" s="30"/>
      <c r="BB232" s="30"/>
      <c r="BC232" s="35"/>
      <c r="BD232" s="32">
        <f>150.19/100</f>
        <v>1.5019</v>
      </c>
      <c r="BE232" s="46" t="s">
        <v>1650</v>
      </c>
      <c r="BF232" s="31"/>
      <c r="BG232" s="30"/>
      <c r="BH232" s="30"/>
      <c r="BI232" s="31"/>
      <c r="BJ232" s="32">
        <f>156.45/100</f>
        <v>1.5645</v>
      </c>
      <c r="BK232" s="46" t="s">
        <v>1651</v>
      </c>
      <c r="BL232" s="30"/>
      <c r="BM232" s="30"/>
    </row>
    <row r="233">
      <c r="A233" s="18" t="s">
        <v>25</v>
      </c>
      <c r="B233" s="48" t="s">
        <v>1652</v>
      </c>
      <c r="C233" s="19" t="s">
        <v>1653</v>
      </c>
      <c r="D233" s="19" t="s">
        <v>67</v>
      </c>
      <c r="E233" s="19" t="s">
        <v>68</v>
      </c>
      <c r="F233" s="20">
        <v>500.0</v>
      </c>
      <c r="G233" s="21">
        <v>1.0</v>
      </c>
      <c r="H233" s="21">
        <v>70.0</v>
      </c>
      <c r="I233" s="21">
        <v>70.0</v>
      </c>
      <c r="J233" s="45"/>
      <c r="K233" s="23">
        <v>0.28</v>
      </c>
      <c r="L233" s="24">
        <v>232.0</v>
      </c>
      <c r="M233" s="25" t="s">
        <v>69</v>
      </c>
      <c r="N233" s="25" t="s">
        <v>70</v>
      </c>
      <c r="O233" s="25">
        <v>2.1000000564E10</v>
      </c>
      <c r="P233" s="26" t="s">
        <v>1654</v>
      </c>
      <c r="Q233" s="27" t="s">
        <v>1655</v>
      </c>
      <c r="R233" s="28" t="s">
        <v>79</v>
      </c>
      <c r="S233" s="29">
        <f t="shared" si="1"/>
        <v>500</v>
      </c>
      <c r="T233" s="30"/>
      <c r="U233" s="30"/>
      <c r="V233" s="30"/>
      <c r="W233" s="30"/>
      <c r="X233" s="30"/>
      <c r="Y233" s="30"/>
      <c r="Z233" s="28">
        <v>500.0</v>
      </c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1"/>
      <c r="AT233" s="38"/>
      <c r="AU233" s="32">
        <f t="shared" si="2"/>
        <v>0.2482266667</v>
      </c>
      <c r="AV233" s="33">
        <f t="shared" si="3"/>
        <v>0.3226946667</v>
      </c>
      <c r="AW233" s="34"/>
      <c r="AX233" s="32">
        <f>96.99 /500</f>
        <v>0.19398</v>
      </c>
      <c r="AY233" s="46" t="s">
        <v>1656</v>
      </c>
      <c r="AZ233" s="34"/>
      <c r="BA233" s="30"/>
      <c r="BB233" s="30"/>
      <c r="BC233" s="35"/>
      <c r="BD233" s="32">
        <f> 119.91/500</f>
        <v>0.23982</v>
      </c>
      <c r="BE233" s="46" t="s">
        <v>1657</v>
      </c>
      <c r="BF233" s="31"/>
      <c r="BG233" s="30"/>
      <c r="BH233" s="30"/>
      <c r="BI233" s="31"/>
      <c r="BJ233" s="32">
        <f>77.72/250</f>
        <v>0.31088</v>
      </c>
      <c r="BK233" s="46" t="s">
        <v>1658</v>
      </c>
      <c r="BL233" s="30"/>
      <c r="BM233" s="30"/>
    </row>
    <row r="234">
      <c r="A234" s="18" t="s">
        <v>25</v>
      </c>
      <c r="B234" s="18" t="s">
        <v>1659</v>
      </c>
      <c r="C234" s="19" t="s">
        <v>1660</v>
      </c>
      <c r="D234" s="19" t="s">
        <v>67</v>
      </c>
      <c r="E234" s="19" t="s">
        <v>68</v>
      </c>
      <c r="F234" s="20">
        <v>50.0</v>
      </c>
      <c r="G234" s="21">
        <v>2.0</v>
      </c>
      <c r="H234" s="21">
        <v>988.0</v>
      </c>
      <c r="I234" s="21">
        <v>1976.0</v>
      </c>
      <c r="J234" s="36" t="s">
        <v>1661</v>
      </c>
      <c r="K234" s="23">
        <v>147.17</v>
      </c>
      <c r="L234" s="24">
        <v>233.0</v>
      </c>
      <c r="M234" s="25" t="s">
        <v>69</v>
      </c>
      <c r="N234" s="25" t="s">
        <v>70</v>
      </c>
      <c r="O234" s="25">
        <v>2.1000000656E10</v>
      </c>
      <c r="P234" s="26" t="s">
        <v>1662</v>
      </c>
      <c r="Q234" s="27" t="s">
        <v>1663</v>
      </c>
      <c r="R234" s="28" t="s">
        <v>79</v>
      </c>
      <c r="S234" s="29">
        <f t="shared" si="1"/>
        <v>50</v>
      </c>
      <c r="T234" s="30"/>
      <c r="U234" s="30"/>
      <c r="V234" s="30"/>
      <c r="W234" s="30"/>
      <c r="X234" s="30"/>
      <c r="Y234" s="30"/>
      <c r="Z234" s="28">
        <v>50.0</v>
      </c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1"/>
      <c r="AT234" s="38"/>
      <c r="AU234" s="32">
        <f t="shared" si="2"/>
        <v>169.99</v>
      </c>
      <c r="AV234" s="33">
        <f t="shared" si="3"/>
        <v>220.987</v>
      </c>
      <c r="AW234" s="34"/>
      <c r="AX234" s="32">
        <f>1944.8/10</f>
        <v>194.48</v>
      </c>
      <c r="AY234" s="46" t="s">
        <v>1664</v>
      </c>
      <c r="AZ234" s="34"/>
      <c r="BA234" s="30"/>
      <c r="BB234" s="30"/>
      <c r="BC234" s="35"/>
      <c r="BD234" s="32">
        <f>1455/10</f>
        <v>145.5</v>
      </c>
      <c r="BE234" s="46" t="s">
        <v>1665</v>
      </c>
      <c r="BF234" s="31"/>
      <c r="BG234" s="30"/>
      <c r="BH234" s="30"/>
      <c r="BI234" s="31"/>
      <c r="BJ234" s="32"/>
      <c r="BK234" s="31"/>
      <c r="BL234" s="30"/>
      <c r="BM234" s="30"/>
    </row>
    <row r="235">
      <c r="A235" s="18" t="s">
        <v>36</v>
      </c>
      <c r="B235" s="18" t="s">
        <v>1666</v>
      </c>
      <c r="C235" s="19" t="s">
        <v>1667</v>
      </c>
      <c r="D235" s="19" t="s">
        <v>67</v>
      </c>
      <c r="E235" s="19" t="s">
        <v>68</v>
      </c>
      <c r="F235" s="20">
        <v>5.0</v>
      </c>
      <c r="G235" s="21">
        <v>5.0</v>
      </c>
      <c r="H235" s="21">
        <v>290.0</v>
      </c>
      <c r="I235" s="21">
        <v>1450.0</v>
      </c>
      <c r="J235" s="36" t="s">
        <v>1110</v>
      </c>
      <c r="K235" s="78">
        <v>299.71</v>
      </c>
      <c r="L235" s="24">
        <v>234.0</v>
      </c>
      <c r="M235" s="25" t="s">
        <v>69</v>
      </c>
      <c r="N235" s="25" t="s">
        <v>70</v>
      </c>
      <c r="O235" s="25">
        <v>2.1000000672E10</v>
      </c>
      <c r="P235" s="26" t="s">
        <v>1668</v>
      </c>
      <c r="Q235" s="27" t="s">
        <v>1669</v>
      </c>
      <c r="R235" s="28" t="s">
        <v>208</v>
      </c>
      <c r="S235" s="29">
        <f t="shared" si="1"/>
        <v>5</v>
      </c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29">
        <v>5.0</v>
      </c>
      <c r="AL235" s="30"/>
      <c r="AM235" s="30"/>
      <c r="AN235" s="30"/>
      <c r="AO235" s="30"/>
      <c r="AP235" s="30"/>
      <c r="AQ235" s="30"/>
      <c r="AR235" s="30"/>
      <c r="AS235" s="31"/>
      <c r="AT235" s="38"/>
      <c r="AU235" s="32">
        <f t="shared" si="2"/>
        <v>329.94</v>
      </c>
      <c r="AV235" s="33">
        <f t="shared" si="3"/>
        <v>428.922</v>
      </c>
      <c r="AW235" s="34"/>
      <c r="AX235" s="42">
        <v>330.51</v>
      </c>
      <c r="AY235" s="39" t="s">
        <v>1670</v>
      </c>
      <c r="AZ235" s="34"/>
      <c r="BA235" s="30"/>
      <c r="BB235" s="30"/>
      <c r="BC235" s="35"/>
      <c r="BD235" s="42">
        <v>330.51</v>
      </c>
      <c r="BE235" s="46" t="s">
        <v>1671</v>
      </c>
      <c r="BF235" s="31"/>
      <c r="BG235" s="30"/>
      <c r="BH235" s="30"/>
      <c r="BI235" s="31"/>
      <c r="BJ235" s="42">
        <v>328.8</v>
      </c>
      <c r="BK235" s="46" t="s">
        <v>1672</v>
      </c>
      <c r="BL235" s="30"/>
      <c r="BM235" s="30"/>
    </row>
    <row r="236">
      <c r="A236" s="18" t="s">
        <v>37</v>
      </c>
      <c r="B236" s="48" t="s">
        <v>1673</v>
      </c>
      <c r="C236" s="19" t="s">
        <v>1674</v>
      </c>
      <c r="D236" s="19" t="s">
        <v>67</v>
      </c>
      <c r="E236" s="19" t="s">
        <v>68</v>
      </c>
      <c r="F236" s="20">
        <v>1.0</v>
      </c>
      <c r="G236" s="21">
        <v>1.0</v>
      </c>
      <c r="H236" s="21">
        <v>694.02</v>
      </c>
      <c r="I236" s="21">
        <v>694.02</v>
      </c>
      <c r="J236" s="36" t="s">
        <v>1675</v>
      </c>
      <c r="K236" s="23">
        <v>608.29</v>
      </c>
      <c r="L236" s="24">
        <v>235.0</v>
      </c>
      <c r="M236" s="25" t="s">
        <v>69</v>
      </c>
      <c r="N236" s="25" t="s">
        <v>70</v>
      </c>
      <c r="O236" s="25">
        <v>2.1000000359E10</v>
      </c>
      <c r="P236" s="26" t="s">
        <v>1676</v>
      </c>
      <c r="Q236" s="27" t="s">
        <v>1677</v>
      </c>
      <c r="R236" s="28" t="s">
        <v>1042</v>
      </c>
      <c r="S236" s="29">
        <f t="shared" si="1"/>
        <v>2</v>
      </c>
      <c r="T236" s="30"/>
      <c r="U236" s="30"/>
      <c r="V236" s="30"/>
      <c r="W236" s="30"/>
      <c r="X236" s="30"/>
      <c r="Y236" s="30"/>
      <c r="Z236" s="38">
        <v>1.0</v>
      </c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29">
        <v>1.0</v>
      </c>
      <c r="AM236" s="30"/>
      <c r="AN236" s="30"/>
      <c r="AO236" s="30"/>
      <c r="AP236" s="30"/>
      <c r="AQ236" s="30"/>
      <c r="AR236" s="30"/>
      <c r="AS236" s="31"/>
      <c r="AT236" s="38"/>
      <c r="AU236" s="32">
        <f t="shared" si="2"/>
        <v>610.7333333</v>
      </c>
      <c r="AV236" s="33">
        <f t="shared" si="3"/>
        <v>793.9533333</v>
      </c>
      <c r="AW236" s="34"/>
      <c r="AX236" s="42">
        <v>634.53</v>
      </c>
      <c r="AY236" s="39" t="s">
        <v>1678</v>
      </c>
      <c r="AZ236" s="34"/>
      <c r="BA236" s="30"/>
      <c r="BB236" s="30"/>
      <c r="BC236" s="35"/>
      <c r="BD236" s="42">
        <v>602.8</v>
      </c>
      <c r="BE236" s="39" t="s">
        <v>1679</v>
      </c>
      <c r="BF236" s="31"/>
      <c r="BG236" s="30"/>
      <c r="BH236" s="30"/>
      <c r="BI236" s="31"/>
      <c r="BJ236" s="42">
        <v>594.87</v>
      </c>
      <c r="BK236" s="46" t="s">
        <v>1680</v>
      </c>
      <c r="BL236" s="30"/>
      <c r="BM236" s="30"/>
    </row>
    <row r="237">
      <c r="A237" s="18" t="s">
        <v>37</v>
      </c>
      <c r="B237" s="18" t="s">
        <v>1681</v>
      </c>
      <c r="C237" s="19" t="s">
        <v>1682</v>
      </c>
      <c r="D237" s="19" t="s">
        <v>67</v>
      </c>
      <c r="E237" s="19" t="s">
        <v>68</v>
      </c>
      <c r="F237" s="20">
        <v>7.0</v>
      </c>
      <c r="G237" s="21">
        <v>7.0</v>
      </c>
      <c r="H237" s="21">
        <v>28.18</v>
      </c>
      <c r="I237" s="21">
        <v>197.26</v>
      </c>
      <c r="J237" s="45"/>
      <c r="K237" s="23">
        <v>75.21</v>
      </c>
      <c r="L237" s="24">
        <v>236.0</v>
      </c>
      <c r="M237" s="25" t="s">
        <v>69</v>
      </c>
      <c r="N237" s="25" t="s">
        <v>70</v>
      </c>
      <c r="O237" s="25">
        <v>2.1000000262E10</v>
      </c>
      <c r="P237" s="26" t="s">
        <v>1683</v>
      </c>
      <c r="Q237" s="27" t="s">
        <v>1684</v>
      </c>
      <c r="R237" s="28" t="s">
        <v>1413</v>
      </c>
      <c r="S237" s="29">
        <f t="shared" si="1"/>
        <v>17</v>
      </c>
      <c r="T237" s="30"/>
      <c r="U237" s="30"/>
      <c r="V237" s="30"/>
      <c r="W237" s="30"/>
      <c r="X237" s="30"/>
      <c r="Y237" s="38">
        <v>5.0</v>
      </c>
      <c r="Z237" s="30"/>
      <c r="AA237" s="30"/>
      <c r="AB237" s="30"/>
      <c r="AC237" s="38">
        <v>5.0</v>
      </c>
      <c r="AD237" s="30"/>
      <c r="AE237" s="30"/>
      <c r="AF237" s="30"/>
      <c r="AG237" s="30"/>
      <c r="AH237" s="30"/>
      <c r="AI237" s="30"/>
      <c r="AJ237" s="30"/>
      <c r="AK237" s="30"/>
      <c r="AL237" s="29">
        <v>7.0</v>
      </c>
      <c r="AM237" s="30"/>
      <c r="AN237" s="30"/>
      <c r="AO237" s="30"/>
      <c r="AP237" s="30"/>
      <c r="AQ237" s="30"/>
      <c r="AR237" s="30"/>
      <c r="AS237" s="31"/>
      <c r="AT237" s="38"/>
      <c r="AU237" s="32">
        <f t="shared" si="2"/>
        <v>69.04666667</v>
      </c>
      <c r="AV237" s="33">
        <f t="shared" si="3"/>
        <v>89.76066667</v>
      </c>
      <c r="AW237" s="34"/>
      <c r="AX237" s="42">
        <v>57.72</v>
      </c>
      <c r="AY237" s="39" t="s">
        <v>1685</v>
      </c>
      <c r="AZ237" s="34"/>
      <c r="BA237" s="30"/>
      <c r="BB237" s="30"/>
      <c r="BC237" s="35"/>
      <c r="BD237" s="42">
        <v>77.0</v>
      </c>
      <c r="BE237" s="46" t="s">
        <v>1686</v>
      </c>
      <c r="BF237" s="31"/>
      <c r="BG237" s="30"/>
      <c r="BH237" s="30"/>
      <c r="BI237" s="31"/>
      <c r="BJ237" s="42">
        <v>72.42</v>
      </c>
      <c r="BK237" s="46" t="s">
        <v>1687</v>
      </c>
      <c r="BL237" s="30"/>
      <c r="BM237" s="30"/>
    </row>
    <row r="238">
      <c r="A238" s="18" t="s">
        <v>21</v>
      </c>
      <c r="B238" s="18" t="s">
        <v>1688</v>
      </c>
      <c r="C238" s="19" t="s">
        <v>1689</v>
      </c>
      <c r="D238" s="19" t="s">
        <v>67</v>
      </c>
      <c r="E238" s="19" t="s">
        <v>68</v>
      </c>
      <c r="F238" s="20">
        <v>2.0</v>
      </c>
      <c r="G238" s="21">
        <v>2.0</v>
      </c>
      <c r="H238" s="21">
        <v>373.0</v>
      </c>
      <c r="I238" s="21">
        <v>746.0</v>
      </c>
      <c r="J238" s="45"/>
      <c r="K238" s="23">
        <v>404.87</v>
      </c>
      <c r="L238" s="24">
        <v>237.0</v>
      </c>
      <c r="M238" s="25" t="s">
        <v>69</v>
      </c>
      <c r="N238" s="25" t="s">
        <v>70</v>
      </c>
      <c r="O238" s="25">
        <v>2.1000000639E10</v>
      </c>
      <c r="P238" s="26" t="s">
        <v>1690</v>
      </c>
      <c r="Q238" s="27" t="s">
        <v>1691</v>
      </c>
      <c r="R238" s="28" t="s">
        <v>1042</v>
      </c>
      <c r="S238" s="29">
        <f t="shared" si="1"/>
        <v>8</v>
      </c>
      <c r="T238" s="30"/>
      <c r="U238" s="30"/>
      <c r="V238" s="29">
        <v>2.0</v>
      </c>
      <c r="W238" s="30"/>
      <c r="X238" s="30"/>
      <c r="Y238" s="30"/>
      <c r="Z238" s="38">
        <v>6.0</v>
      </c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1"/>
      <c r="AT238" s="38"/>
      <c r="AU238" s="32">
        <f t="shared" si="2"/>
        <v>336.6733333</v>
      </c>
      <c r="AV238" s="33">
        <f t="shared" si="3"/>
        <v>437.6753333</v>
      </c>
      <c r="AW238" s="34"/>
      <c r="AX238" s="42">
        <v>353.88</v>
      </c>
      <c r="AY238" s="46" t="s">
        <v>1692</v>
      </c>
      <c r="AZ238" s="34"/>
      <c r="BA238" s="30"/>
      <c r="BB238" s="30"/>
      <c r="BC238" s="35"/>
      <c r="BD238" s="42">
        <v>353.0</v>
      </c>
      <c r="BE238" s="46" t="s">
        <v>1693</v>
      </c>
      <c r="BF238" s="31"/>
      <c r="BG238" s="30"/>
      <c r="BH238" s="30"/>
      <c r="BI238" s="31"/>
      <c r="BJ238" s="42">
        <v>303.14</v>
      </c>
      <c r="BK238" s="46" t="s">
        <v>1694</v>
      </c>
      <c r="BL238" s="30"/>
      <c r="BM238" s="30"/>
    </row>
    <row r="239">
      <c r="A239" s="18" t="s">
        <v>25</v>
      </c>
      <c r="B239" s="18" t="s">
        <v>1695</v>
      </c>
      <c r="C239" s="19" t="s">
        <v>1696</v>
      </c>
      <c r="D239" s="19" t="s">
        <v>67</v>
      </c>
      <c r="E239" s="19" t="s">
        <v>68</v>
      </c>
      <c r="F239" s="20">
        <v>500.0</v>
      </c>
      <c r="G239" s="21">
        <v>1.0</v>
      </c>
      <c r="H239" s="21">
        <v>90.0</v>
      </c>
      <c r="I239" s="21">
        <v>90.0</v>
      </c>
      <c r="J239" s="45"/>
      <c r="K239" s="23">
        <v>0.15</v>
      </c>
      <c r="L239" s="24">
        <v>238.0</v>
      </c>
      <c r="M239" s="25" t="s">
        <v>69</v>
      </c>
      <c r="N239" s="25" t="s">
        <v>70</v>
      </c>
      <c r="O239" s="25">
        <v>2.1000000274E10</v>
      </c>
      <c r="P239" s="26" t="s">
        <v>1697</v>
      </c>
      <c r="Q239" s="27" t="s">
        <v>1698</v>
      </c>
      <c r="R239" s="28" t="s">
        <v>79</v>
      </c>
      <c r="S239" s="29">
        <f t="shared" si="1"/>
        <v>500</v>
      </c>
      <c r="T239" s="30"/>
      <c r="U239" s="30"/>
      <c r="V239" s="30"/>
      <c r="W239" s="30"/>
      <c r="X239" s="30"/>
      <c r="Y239" s="30"/>
      <c r="Z239" s="28">
        <v>500.0</v>
      </c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1"/>
      <c r="AT239" s="38"/>
      <c r="AU239" s="32">
        <f t="shared" si="2"/>
        <v>0.1409</v>
      </c>
      <c r="AV239" s="33">
        <f t="shared" si="3"/>
        <v>0.18317</v>
      </c>
      <c r="AW239" s="34"/>
      <c r="AX239" s="32">
        <f> 70.45/500</f>
        <v>0.1409</v>
      </c>
      <c r="AY239" s="39" t="s">
        <v>1699</v>
      </c>
      <c r="AZ239" s="34"/>
      <c r="BA239" s="30"/>
      <c r="BB239" s="30"/>
      <c r="BC239" s="35"/>
      <c r="BD239" s="32"/>
      <c r="BE239" s="31"/>
      <c r="BF239" s="31"/>
      <c r="BG239" s="30"/>
      <c r="BH239" s="30"/>
      <c r="BI239" s="31"/>
      <c r="BJ239" s="32"/>
      <c r="BK239" s="31"/>
      <c r="BL239" s="30"/>
      <c r="BM239" s="30"/>
    </row>
    <row r="240">
      <c r="A240" s="18" t="s">
        <v>41</v>
      </c>
      <c r="B240" s="48" t="s">
        <v>1700</v>
      </c>
      <c r="C240" s="19" t="s">
        <v>1701</v>
      </c>
      <c r="D240" s="19" t="s">
        <v>67</v>
      </c>
      <c r="E240" s="19" t="s">
        <v>68</v>
      </c>
      <c r="F240" s="20">
        <v>10.0</v>
      </c>
      <c r="G240" s="21">
        <v>10.0</v>
      </c>
      <c r="H240" s="21">
        <v>36.99</v>
      </c>
      <c r="I240" s="21">
        <v>369.9</v>
      </c>
      <c r="J240" s="45"/>
      <c r="K240" s="23">
        <v>40.23</v>
      </c>
      <c r="L240" s="24">
        <v>239.0</v>
      </c>
      <c r="M240" s="25" t="s">
        <v>69</v>
      </c>
      <c r="N240" s="25" t="s">
        <v>70</v>
      </c>
      <c r="O240" s="25">
        <v>2.1000000276E10</v>
      </c>
      <c r="P240" s="26" t="s">
        <v>1702</v>
      </c>
      <c r="Q240" s="27" t="s">
        <v>1703</v>
      </c>
      <c r="R240" s="28" t="s">
        <v>1704</v>
      </c>
      <c r="S240" s="29">
        <f t="shared" si="1"/>
        <v>51</v>
      </c>
      <c r="T240" s="30"/>
      <c r="U240" s="38">
        <v>10.0</v>
      </c>
      <c r="V240" s="30"/>
      <c r="W240" s="30"/>
      <c r="X240" s="30"/>
      <c r="Y240" s="30"/>
      <c r="Z240" s="38">
        <v>24.0</v>
      </c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8">
        <v>7.0</v>
      </c>
      <c r="AM240" s="30"/>
      <c r="AN240" s="30"/>
      <c r="AO240" s="30"/>
      <c r="AP240" s="29">
        <v>10.0</v>
      </c>
      <c r="AQ240" s="30"/>
      <c r="AR240" s="30"/>
      <c r="AS240" s="31"/>
      <c r="AT240" s="38"/>
      <c r="AU240" s="32">
        <f t="shared" si="2"/>
        <v>39.99</v>
      </c>
      <c r="AV240" s="33">
        <f t="shared" si="3"/>
        <v>51.987</v>
      </c>
      <c r="AW240" s="34"/>
      <c r="AX240" s="42">
        <v>39.99</v>
      </c>
      <c r="AY240" s="39" t="s">
        <v>1705</v>
      </c>
      <c r="AZ240" s="34"/>
      <c r="BA240" s="30"/>
      <c r="BB240" s="30"/>
      <c r="BC240" s="35"/>
      <c r="BD240" s="42"/>
      <c r="BE240" s="50"/>
      <c r="BF240" s="31"/>
      <c r="BG240" s="30"/>
      <c r="BH240" s="30"/>
      <c r="BI240" s="31"/>
      <c r="BJ240" s="32"/>
      <c r="BK240" s="31"/>
      <c r="BL240" s="30"/>
      <c r="BM240" s="30"/>
    </row>
    <row r="241">
      <c r="A241" s="18" t="s">
        <v>36</v>
      </c>
      <c r="B241" s="18" t="s">
        <v>1706</v>
      </c>
      <c r="C241" s="19" t="s">
        <v>1707</v>
      </c>
      <c r="D241" s="19" t="s">
        <v>67</v>
      </c>
      <c r="E241" s="19" t="s">
        <v>68</v>
      </c>
      <c r="F241" s="20">
        <v>3.0</v>
      </c>
      <c r="G241" s="21">
        <v>3.0</v>
      </c>
      <c r="H241" s="21">
        <v>136.08</v>
      </c>
      <c r="I241" s="21">
        <v>408.24</v>
      </c>
      <c r="J241" s="36" t="s">
        <v>1110</v>
      </c>
      <c r="K241" s="78">
        <v>37.63</v>
      </c>
      <c r="L241" s="24">
        <v>240.0</v>
      </c>
      <c r="M241" s="25" t="s">
        <v>69</v>
      </c>
      <c r="N241" s="25" t="s">
        <v>70</v>
      </c>
      <c r="O241" s="25">
        <v>2.1000000665E10</v>
      </c>
      <c r="P241" s="26" t="s">
        <v>1708</v>
      </c>
      <c r="Q241" s="27" t="s">
        <v>1709</v>
      </c>
      <c r="R241" s="28" t="s">
        <v>1710</v>
      </c>
      <c r="S241" s="29">
        <f t="shared" si="1"/>
        <v>3</v>
      </c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29">
        <v>3.0</v>
      </c>
      <c r="AL241" s="30"/>
      <c r="AM241" s="30"/>
      <c r="AN241" s="30"/>
      <c r="AO241" s="30"/>
      <c r="AP241" s="30"/>
      <c r="AQ241" s="30"/>
      <c r="AR241" s="30"/>
      <c r="AS241" s="31"/>
      <c r="AT241" s="38"/>
      <c r="AU241" s="32">
        <f t="shared" si="2"/>
        <v>136.08</v>
      </c>
      <c r="AV241" s="33">
        <f t="shared" si="3"/>
        <v>176.904</v>
      </c>
      <c r="AW241" s="34"/>
      <c r="AX241" s="42">
        <v>136.08</v>
      </c>
      <c r="AY241" s="39" t="s">
        <v>1711</v>
      </c>
      <c r="AZ241" s="34"/>
      <c r="BA241" s="30"/>
      <c r="BB241" s="30"/>
      <c r="BC241" s="35"/>
      <c r="BD241" s="32"/>
      <c r="BE241" s="31"/>
      <c r="BF241" s="31"/>
      <c r="BG241" s="30"/>
      <c r="BH241" s="30"/>
      <c r="BI241" s="31"/>
      <c r="BJ241" s="32"/>
      <c r="BK241" s="31"/>
      <c r="BL241" s="30"/>
      <c r="BM241" s="30"/>
    </row>
    <row r="242">
      <c r="A242" s="18" t="s">
        <v>25</v>
      </c>
      <c r="B242" s="48" t="s">
        <v>1712</v>
      </c>
      <c r="C242" s="19" t="s">
        <v>1713</v>
      </c>
      <c r="D242" s="19" t="s">
        <v>67</v>
      </c>
      <c r="E242" s="19" t="s">
        <v>68</v>
      </c>
      <c r="F242" s="20">
        <v>500.0</v>
      </c>
      <c r="G242" s="21">
        <v>1.0</v>
      </c>
      <c r="H242" s="21">
        <v>47.0</v>
      </c>
      <c r="I242" s="21">
        <v>47.0</v>
      </c>
      <c r="J242" s="45"/>
      <c r="K242" s="23">
        <v>0.19</v>
      </c>
      <c r="L242" s="24">
        <v>241.0</v>
      </c>
      <c r="M242" s="25" t="s">
        <v>69</v>
      </c>
      <c r="N242" s="25" t="s">
        <v>70</v>
      </c>
      <c r="O242" s="25">
        <v>2.1000000394E10</v>
      </c>
      <c r="P242" s="26" t="s">
        <v>1714</v>
      </c>
      <c r="Q242" s="27" t="s">
        <v>1715</v>
      </c>
      <c r="R242" s="28" t="s">
        <v>79</v>
      </c>
      <c r="S242" s="29">
        <f t="shared" si="1"/>
        <v>2000</v>
      </c>
      <c r="T242" s="30"/>
      <c r="U242" s="30"/>
      <c r="V242" s="30"/>
      <c r="W242" s="38">
        <v>1500.0</v>
      </c>
      <c r="X242" s="30"/>
      <c r="Y242" s="30"/>
      <c r="Z242" s="28">
        <v>500.0</v>
      </c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1"/>
      <c r="AT242" s="38"/>
      <c r="AU242" s="32">
        <f t="shared" si="2"/>
        <v>0.1642066667</v>
      </c>
      <c r="AV242" s="33">
        <f t="shared" si="3"/>
        <v>0.2134686667</v>
      </c>
      <c r="AW242" s="34"/>
      <c r="AX242" s="32">
        <f>68/500</f>
        <v>0.136</v>
      </c>
      <c r="AY242" s="46" t="s">
        <v>1716</v>
      </c>
      <c r="AZ242" s="34"/>
      <c r="BA242" s="30"/>
      <c r="BB242" s="30"/>
      <c r="BC242" s="35"/>
      <c r="BD242" s="32">
        <f>79.31/500</f>
        <v>0.15862</v>
      </c>
      <c r="BE242" s="39" t="s">
        <v>1717</v>
      </c>
      <c r="BF242" s="31"/>
      <c r="BG242" s="30"/>
      <c r="BH242" s="30"/>
      <c r="BI242" s="31"/>
      <c r="BJ242" s="32">
        <f>99/500</f>
        <v>0.198</v>
      </c>
      <c r="BK242" s="46" t="s">
        <v>1718</v>
      </c>
      <c r="BL242" s="30"/>
      <c r="BM242" s="30"/>
    </row>
    <row r="243">
      <c r="A243" s="18" t="s">
        <v>25</v>
      </c>
      <c r="B243" s="18" t="s">
        <v>1719</v>
      </c>
      <c r="C243" s="19" t="s">
        <v>1720</v>
      </c>
      <c r="D243" s="19" t="s">
        <v>67</v>
      </c>
      <c r="E243" s="19" t="s">
        <v>68</v>
      </c>
      <c r="F243" s="20">
        <v>50.0</v>
      </c>
      <c r="G243" s="21">
        <v>50.0</v>
      </c>
      <c r="H243" s="21">
        <v>21.0</v>
      </c>
      <c r="I243" s="21">
        <v>1050.0</v>
      </c>
      <c r="J243" s="45"/>
      <c r="K243" s="23">
        <v>1.09</v>
      </c>
      <c r="L243" s="24">
        <v>242.0</v>
      </c>
      <c r="M243" s="25" t="s">
        <v>69</v>
      </c>
      <c r="N243" s="25" t="s">
        <v>70</v>
      </c>
      <c r="O243" s="25">
        <v>2.1000000161E10</v>
      </c>
      <c r="P243" s="26" t="s">
        <v>1721</v>
      </c>
      <c r="Q243" s="27" t="s">
        <v>1722</v>
      </c>
      <c r="R243" s="28" t="s">
        <v>79</v>
      </c>
      <c r="S243" s="29">
        <f t="shared" si="1"/>
        <v>50</v>
      </c>
      <c r="T243" s="30"/>
      <c r="U243" s="30"/>
      <c r="V243" s="30"/>
      <c r="W243" s="30"/>
      <c r="X243" s="30"/>
      <c r="Y243" s="30"/>
      <c r="Z243" s="29">
        <v>50.0</v>
      </c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1"/>
      <c r="AT243" s="38"/>
      <c r="AU243" s="32">
        <f t="shared" si="2"/>
        <v>1.3644</v>
      </c>
      <c r="AV243" s="33">
        <f t="shared" si="3"/>
        <v>1.77372</v>
      </c>
      <c r="AW243" s="34"/>
      <c r="AX243" s="32">
        <f>39/25</f>
        <v>1.56</v>
      </c>
      <c r="AY243" s="39" t="s">
        <v>1723</v>
      </c>
      <c r="AZ243" s="34"/>
      <c r="BA243" s="30"/>
      <c r="BB243" s="30"/>
      <c r="BC243" s="35"/>
      <c r="BD243" s="32">
        <f>30 /25</f>
        <v>1.2</v>
      </c>
      <c r="BE243" s="39" t="s">
        <v>1724</v>
      </c>
      <c r="BF243" s="31"/>
      <c r="BG243" s="30"/>
      <c r="BH243" s="30"/>
      <c r="BI243" s="31"/>
      <c r="BJ243" s="32">
        <f>33.33/25</f>
        <v>1.3332</v>
      </c>
      <c r="BK243" s="46" t="s">
        <v>1725</v>
      </c>
      <c r="BL243" s="30"/>
      <c r="BM243" s="30"/>
    </row>
    <row r="244">
      <c r="A244" s="18" t="s">
        <v>22</v>
      </c>
      <c r="B244" s="18" t="s">
        <v>1726</v>
      </c>
      <c r="C244" s="19" t="s">
        <v>1727</v>
      </c>
      <c r="D244" s="19" t="s">
        <v>67</v>
      </c>
      <c r="E244" s="19" t="s">
        <v>68</v>
      </c>
      <c r="F244" s="20">
        <v>1.0</v>
      </c>
      <c r="G244" s="21">
        <v>1.0</v>
      </c>
      <c r="H244" s="21">
        <v>489.0</v>
      </c>
      <c r="I244" s="21">
        <v>489.0</v>
      </c>
      <c r="J244" s="36" t="s">
        <v>1728</v>
      </c>
      <c r="K244" s="23">
        <v>1.97</v>
      </c>
      <c r="L244" s="24">
        <v>243.0</v>
      </c>
      <c r="M244" s="25" t="s">
        <v>69</v>
      </c>
      <c r="N244" s="25" t="s">
        <v>70</v>
      </c>
      <c r="O244" s="25">
        <v>2.1000000324E10</v>
      </c>
      <c r="P244" s="26" t="s">
        <v>1729</v>
      </c>
      <c r="Q244" s="27" t="s">
        <v>1730</v>
      </c>
      <c r="R244" s="28" t="s">
        <v>79</v>
      </c>
      <c r="S244" s="29">
        <f t="shared" si="1"/>
        <v>25</v>
      </c>
      <c r="T244" s="30"/>
      <c r="U244" s="30"/>
      <c r="V244" s="30"/>
      <c r="W244" s="28">
        <v>25.0</v>
      </c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1"/>
      <c r="AT244" s="38" t="s">
        <v>1731</v>
      </c>
      <c r="AU244" s="32">
        <f t="shared" si="2"/>
        <v>2.101333333</v>
      </c>
      <c r="AV244" s="33">
        <f t="shared" si="3"/>
        <v>2.731733333</v>
      </c>
      <c r="AW244" s="34"/>
      <c r="AX244" s="42">
        <f>208/100</f>
        <v>2.08</v>
      </c>
      <c r="AY244" s="39" t="s">
        <v>1732</v>
      </c>
      <c r="AZ244" s="34"/>
      <c r="BA244" s="30"/>
      <c r="BB244" s="30"/>
      <c r="BC244" s="35"/>
      <c r="BD244" s="42">
        <f>51.6/25</f>
        <v>2.064</v>
      </c>
      <c r="BE244" s="39" t="s">
        <v>1733</v>
      </c>
      <c r="BF244" s="31"/>
      <c r="BG244" s="30"/>
      <c r="BH244" s="30"/>
      <c r="BI244" s="31"/>
      <c r="BJ244" s="32">
        <f>54/25</f>
        <v>2.16</v>
      </c>
      <c r="BK244" s="46" t="s">
        <v>1734</v>
      </c>
      <c r="BL244" s="30"/>
      <c r="BM244" s="30"/>
    </row>
    <row r="245">
      <c r="A245" s="18" t="s">
        <v>43</v>
      </c>
      <c r="B245" s="18" t="s">
        <v>1735</v>
      </c>
      <c r="C245" s="19" t="s">
        <v>1736</v>
      </c>
      <c r="D245" s="19" t="s">
        <v>67</v>
      </c>
      <c r="E245" s="19" t="s">
        <v>68</v>
      </c>
      <c r="F245" s="20">
        <v>4.0</v>
      </c>
      <c r="G245" s="21">
        <v>4.0</v>
      </c>
      <c r="H245" s="21">
        <v>20.0</v>
      </c>
      <c r="I245" s="21">
        <v>80.0</v>
      </c>
      <c r="J245" s="36" t="s">
        <v>1737</v>
      </c>
      <c r="K245" s="78">
        <v>481.58</v>
      </c>
      <c r="L245" s="24">
        <v>244.0</v>
      </c>
      <c r="M245" s="25" t="s">
        <v>69</v>
      </c>
      <c r="N245" s="25" t="s">
        <v>70</v>
      </c>
      <c r="O245" s="25">
        <v>2.1000000666E10</v>
      </c>
      <c r="P245" s="26" t="s">
        <v>1738</v>
      </c>
      <c r="Q245" s="27" t="s">
        <v>1739</v>
      </c>
      <c r="R245" s="28" t="s">
        <v>79</v>
      </c>
      <c r="S245" s="29">
        <f t="shared" si="1"/>
        <v>4</v>
      </c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29">
        <v>4.0</v>
      </c>
      <c r="AS245" s="31"/>
      <c r="AT245" s="30"/>
      <c r="AU245" s="32" t="str">
        <f t="shared" si="2"/>
        <v>#DIV/0!</v>
      </c>
      <c r="AV245" s="33" t="str">
        <f t="shared" si="3"/>
        <v>#DIV/0!</v>
      </c>
      <c r="AW245" s="34"/>
      <c r="AX245" s="32"/>
      <c r="AY245" s="31"/>
      <c r="AZ245" s="34"/>
      <c r="BA245" s="30"/>
      <c r="BB245" s="30"/>
      <c r="BC245" s="35"/>
      <c r="BD245" s="32"/>
      <c r="BE245" s="31"/>
      <c r="BF245" s="31"/>
      <c r="BG245" s="30"/>
      <c r="BH245" s="30"/>
      <c r="BI245" s="31"/>
      <c r="BJ245" s="32"/>
      <c r="BK245" s="31"/>
      <c r="BL245" s="30"/>
      <c r="BM245" s="30"/>
    </row>
    <row r="246">
      <c r="A246" s="18" t="s">
        <v>25</v>
      </c>
      <c r="B246" s="18" t="s">
        <v>1740</v>
      </c>
      <c r="C246" s="19" t="s">
        <v>1741</v>
      </c>
      <c r="D246" s="19" t="s">
        <v>67</v>
      </c>
      <c r="E246" s="19" t="s">
        <v>68</v>
      </c>
      <c r="F246" s="20">
        <v>1.0</v>
      </c>
      <c r="G246" s="21">
        <v>1.0</v>
      </c>
      <c r="H246" s="21">
        <v>359.0</v>
      </c>
      <c r="I246" s="21">
        <v>359.0</v>
      </c>
      <c r="J246" s="45"/>
      <c r="K246" s="23">
        <v>513.02</v>
      </c>
      <c r="L246" s="24">
        <v>245.0</v>
      </c>
      <c r="M246" s="25" t="s">
        <v>69</v>
      </c>
      <c r="N246" s="25" t="s">
        <v>70</v>
      </c>
      <c r="O246" s="25">
        <v>2.1000000472E10</v>
      </c>
      <c r="P246" s="26" t="s">
        <v>1742</v>
      </c>
      <c r="Q246" s="27" t="s">
        <v>1743</v>
      </c>
      <c r="R246" s="28" t="s">
        <v>1113</v>
      </c>
      <c r="S246" s="29">
        <f t="shared" si="1"/>
        <v>1</v>
      </c>
      <c r="T246" s="30"/>
      <c r="U246" s="30"/>
      <c r="V246" s="30"/>
      <c r="W246" s="30"/>
      <c r="X246" s="30"/>
      <c r="Y246" s="30"/>
      <c r="Z246" s="29">
        <v>1.0</v>
      </c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1"/>
      <c r="AT246" s="38" t="s">
        <v>81</v>
      </c>
      <c r="AU246" s="32">
        <f t="shared" si="2"/>
        <v>451.34</v>
      </c>
      <c r="AV246" s="33">
        <f t="shared" si="3"/>
        <v>586.742</v>
      </c>
      <c r="AW246" s="34"/>
      <c r="AX246" s="42">
        <v>474.01</v>
      </c>
      <c r="AY246" s="39" t="s">
        <v>1744</v>
      </c>
      <c r="AZ246" s="34"/>
      <c r="BA246" s="30"/>
      <c r="BB246" s="30"/>
      <c r="BC246" s="35"/>
      <c r="BD246" s="42">
        <v>406.0</v>
      </c>
      <c r="BE246" s="39" t="s">
        <v>1745</v>
      </c>
      <c r="BF246" s="31"/>
      <c r="BG246" s="30"/>
      <c r="BH246" s="30"/>
      <c r="BI246" s="31"/>
      <c r="BJ246" s="42">
        <v>474.01</v>
      </c>
      <c r="BK246" s="39" t="s">
        <v>1746</v>
      </c>
      <c r="BL246" s="30"/>
      <c r="BM246" s="30"/>
    </row>
    <row r="247">
      <c r="A247" s="18" t="s">
        <v>28</v>
      </c>
      <c r="B247" s="18" t="s">
        <v>1747</v>
      </c>
      <c r="C247" s="19" t="s">
        <v>1748</v>
      </c>
      <c r="D247" s="19" t="s">
        <v>67</v>
      </c>
      <c r="E247" s="19" t="s">
        <v>68</v>
      </c>
      <c r="F247" s="20">
        <v>3.0</v>
      </c>
      <c r="G247" s="21">
        <v>3.0</v>
      </c>
      <c r="H247" s="21">
        <v>350.0</v>
      </c>
      <c r="I247" s="21">
        <v>1050.0</v>
      </c>
      <c r="J247" s="45"/>
      <c r="K247" s="23">
        <v>351.19</v>
      </c>
      <c r="L247" s="24">
        <v>246.0</v>
      </c>
      <c r="M247" s="25" t="s">
        <v>69</v>
      </c>
      <c r="N247" s="25" t="s">
        <v>70</v>
      </c>
      <c r="O247" s="25">
        <v>2.1000000514E10</v>
      </c>
      <c r="P247" s="26" t="s">
        <v>1749</v>
      </c>
      <c r="Q247" s="27" t="s">
        <v>1750</v>
      </c>
      <c r="R247" s="28" t="s">
        <v>1113</v>
      </c>
      <c r="S247" s="29">
        <f t="shared" si="1"/>
        <v>3</v>
      </c>
      <c r="T247" s="30"/>
      <c r="U247" s="30"/>
      <c r="V247" s="30"/>
      <c r="W247" s="30"/>
      <c r="X247" s="30"/>
      <c r="Y247" s="30"/>
      <c r="Z247" s="30"/>
      <c r="AA247" s="30"/>
      <c r="AB247" s="30"/>
      <c r="AC247" s="29">
        <v>3.0</v>
      </c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1"/>
      <c r="AT247" s="38" t="s">
        <v>678</v>
      </c>
      <c r="AU247" s="32">
        <f t="shared" si="2"/>
        <v>351.1866667</v>
      </c>
      <c r="AV247" s="33">
        <f t="shared" si="3"/>
        <v>456.5426667</v>
      </c>
      <c r="AW247" s="34"/>
      <c r="AX247" s="42">
        <v>284.76</v>
      </c>
      <c r="AY247" s="46" t="s">
        <v>1751</v>
      </c>
      <c r="AZ247" s="34"/>
      <c r="BA247" s="30"/>
      <c r="BB247" s="30"/>
      <c r="BC247" s="35"/>
      <c r="BD247" s="42">
        <v>396.8</v>
      </c>
      <c r="BE247" s="46" t="s">
        <v>1752</v>
      </c>
      <c r="BF247" s="31"/>
      <c r="BG247" s="30"/>
      <c r="BH247" s="30"/>
      <c r="BI247" s="31"/>
      <c r="BJ247" s="42">
        <v>372.0</v>
      </c>
      <c r="BK247" s="46" t="s">
        <v>1753</v>
      </c>
      <c r="BL247" s="30"/>
      <c r="BM247" s="30"/>
    </row>
    <row r="248">
      <c r="A248" s="18" t="s">
        <v>25</v>
      </c>
      <c r="B248" s="48" t="s">
        <v>1754</v>
      </c>
      <c r="C248" s="19" t="s">
        <v>1755</v>
      </c>
      <c r="D248" s="19" t="s">
        <v>67</v>
      </c>
      <c r="E248" s="19" t="s">
        <v>68</v>
      </c>
      <c r="F248" s="20">
        <v>300.0</v>
      </c>
      <c r="G248" s="21">
        <v>3.0</v>
      </c>
      <c r="H248" s="21">
        <v>0.0</v>
      </c>
      <c r="I248" s="21">
        <v>0.0</v>
      </c>
      <c r="J248" s="45"/>
      <c r="K248" s="23">
        <v>0.72</v>
      </c>
      <c r="L248" s="24">
        <v>247.0</v>
      </c>
      <c r="M248" s="25" t="s">
        <v>69</v>
      </c>
      <c r="N248" s="25" t="s">
        <v>70</v>
      </c>
      <c r="O248" s="25">
        <v>2.1000000395E10</v>
      </c>
      <c r="P248" s="26" t="s">
        <v>1756</v>
      </c>
      <c r="Q248" s="27" t="s">
        <v>1757</v>
      </c>
      <c r="R248" s="28" t="s">
        <v>73</v>
      </c>
      <c r="S248" s="29">
        <f t="shared" si="1"/>
        <v>400</v>
      </c>
      <c r="T248" s="30"/>
      <c r="U248" s="30"/>
      <c r="V248" s="30"/>
      <c r="W248" s="30"/>
      <c r="X248" s="30"/>
      <c r="Y248" s="30"/>
      <c r="Z248" s="28">
        <v>400.0</v>
      </c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1"/>
      <c r="AT248" s="38" t="s">
        <v>81</v>
      </c>
      <c r="AU248" s="32">
        <f t="shared" si="2"/>
        <v>0.8595</v>
      </c>
      <c r="AV248" s="33">
        <f t="shared" si="3"/>
        <v>1.11735</v>
      </c>
      <c r="AW248" s="34"/>
      <c r="AX248" s="42"/>
      <c r="AY248" s="49"/>
      <c r="AZ248" s="34"/>
      <c r="BA248" s="30"/>
      <c r="BB248" s="30"/>
      <c r="BC248" s="35"/>
      <c r="BD248" s="32">
        <f>72/100</f>
        <v>0.72</v>
      </c>
      <c r="BE248" s="46" t="s">
        <v>1758</v>
      </c>
      <c r="BF248" s="31"/>
      <c r="BG248" s="30"/>
      <c r="BH248" s="30"/>
      <c r="BI248" s="31"/>
      <c r="BJ248" s="32">
        <f>99.9 /100</f>
        <v>0.999</v>
      </c>
      <c r="BK248" s="46" t="s">
        <v>1759</v>
      </c>
      <c r="BL248" s="30"/>
      <c r="BM248" s="30"/>
    </row>
    <row r="249">
      <c r="A249" s="18" t="s">
        <v>25</v>
      </c>
      <c r="B249" s="18" t="s">
        <v>1760</v>
      </c>
      <c r="C249" s="19" t="s">
        <v>1761</v>
      </c>
      <c r="D249" s="19" t="s">
        <v>67</v>
      </c>
      <c r="E249" s="19" t="s">
        <v>68</v>
      </c>
      <c r="F249" s="20">
        <v>5.0</v>
      </c>
      <c r="G249" s="21">
        <v>5.0</v>
      </c>
      <c r="H249" s="21">
        <v>280.0</v>
      </c>
      <c r="I249" s="21">
        <v>1400.0</v>
      </c>
      <c r="J249" s="45"/>
      <c r="K249" s="78">
        <v>457.38</v>
      </c>
      <c r="L249" s="24">
        <v>248.0</v>
      </c>
      <c r="M249" s="25" t="s">
        <v>69</v>
      </c>
      <c r="N249" s="25" t="s">
        <v>70</v>
      </c>
      <c r="O249" s="25">
        <v>2.1000000673E10</v>
      </c>
      <c r="P249" s="26" t="s">
        <v>1762</v>
      </c>
      <c r="Q249" s="27" t="s">
        <v>1763</v>
      </c>
      <c r="R249" s="28" t="s">
        <v>1113</v>
      </c>
      <c r="S249" s="29">
        <f t="shared" si="1"/>
        <v>5</v>
      </c>
      <c r="T249" s="30"/>
      <c r="U249" s="30"/>
      <c r="V249" s="30"/>
      <c r="W249" s="30"/>
      <c r="X249" s="30"/>
      <c r="Y249" s="30"/>
      <c r="Z249" s="29">
        <v>5.0</v>
      </c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1"/>
      <c r="AT249" s="30"/>
      <c r="AU249" s="32" t="str">
        <f t="shared" si="2"/>
        <v>#DIV/0!</v>
      </c>
      <c r="AV249" s="33" t="str">
        <f t="shared" si="3"/>
        <v>#DIV/0!</v>
      </c>
      <c r="AW249" s="34"/>
      <c r="AX249" s="32"/>
      <c r="AY249" s="31"/>
      <c r="AZ249" s="34"/>
      <c r="BA249" s="30"/>
      <c r="BB249" s="30"/>
      <c r="BC249" s="35"/>
      <c r="BD249" s="32"/>
      <c r="BE249" s="31"/>
      <c r="BF249" s="31"/>
      <c r="BG249" s="30"/>
      <c r="BH249" s="30"/>
      <c r="BI249" s="31"/>
      <c r="BJ249" s="32"/>
      <c r="BK249" s="31"/>
      <c r="BL249" s="30"/>
      <c r="BM249" s="30"/>
    </row>
    <row r="250">
      <c r="A250" s="18" t="s">
        <v>25</v>
      </c>
      <c r="B250" s="48" t="s">
        <v>1764</v>
      </c>
      <c r="C250" s="19" t="s">
        <v>1765</v>
      </c>
      <c r="D250" s="19" t="s">
        <v>67</v>
      </c>
      <c r="E250" s="19" t="s">
        <v>68</v>
      </c>
      <c r="F250" s="20">
        <v>5.0</v>
      </c>
      <c r="G250" s="21">
        <v>5.0</v>
      </c>
      <c r="H250" s="21">
        <v>900.0</v>
      </c>
      <c r="I250" s="21">
        <v>4500.0</v>
      </c>
      <c r="J250" s="36" t="s">
        <v>1766</v>
      </c>
      <c r="K250" s="23">
        <v>1.35</v>
      </c>
      <c r="L250" s="24">
        <v>249.0</v>
      </c>
      <c r="M250" s="25" t="s">
        <v>69</v>
      </c>
      <c r="N250" s="25" t="s">
        <v>70</v>
      </c>
      <c r="O250" s="25">
        <v>2.1000000396E10</v>
      </c>
      <c r="P250" s="26" t="s">
        <v>1767</v>
      </c>
      <c r="Q250" s="27" t="s">
        <v>1768</v>
      </c>
      <c r="R250" s="28" t="s">
        <v>79</v>
      </c>
      <c r="S250" s="29">
        <f t="shared" si="1"/>
        <v>25000</v>
      </c>
      <c r="T250" s="30"/>
      <c r="U250" s="30"/>
      <c r="V250" s="30"/>
      <c r="W250" s="30"/>
      <c r="X250" s="30"/>
      <c r="Y250" s="30"/>
      <c r="Z250" s="28">
        <v>25000.0</v>
      </c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1"/>
      <c r="AT250" s="30"/>
      <c r="AU250" s="32" t="str">
        <f t="shared" si="2"/>
        <v>#DIV/0!</v>
      </c>
      <c r="AV250" s="33" t="str">
        <f t="shared" si="3"/>
        <v>#DIV/0!</v>
      </c>
      <c r="AW250" s="34"/>
      <c r="AX250" s="32"/>
      <c r="AY250" s="31"/>
      <c r="AZ250" s="34"/>
      <c r="BA250" s="30"/>
      <c r="BB250" s="30"/>
      <c r="BC250" s="35"/>
      <c r="BD250" s="32"/>
      <c r="BE250" s="31"/>
      <c r="BF250" s="31"/>
      <c r="BG250" s="30"/>
      <c r="BH250" s="30"/>
      <c r="BI250" s="31"/>
      <c r="BJ250" s="32"/>
      <c r="BK250" s="31"/>
      <c r="BL250" s="30"/>
      <c r="BM250" s="30"/>
    </row>
    <row r="251">
      <c r="A251" s="18" t="s">
        <v>25</v>
      </c>
      <c r="B251" s="48" t="s">
        <v>1769</v>
      </c>
      <c r="C251" s="19" t="s">
        <v>1770</v>
      </c>
      <c r="D251" s="19" t="s">
        <v>67</v>
      </c>
      <c r="E251" s="19" t="s">
        <v>68</v>
      </c>
      <c r="F251" s="20">
        <v>2.0</v>
      </c>
      <c r="G251" s="21">
        <v>2.0</v>
      </c>
      <c r="H251" s="21">
        <v>51.0</v>
      </c>
      <c r="I251" s="21">
        <v>102.0</v>
      </c>
      <c r="J251" s="36" t="s">
        <v>1771</v>
      </c>
      <c r="K251" s="23">
        <v>26.61</v>
      </c>
      <c r="L251" s="24">
        <v>250.0</v>
      </c>
      <c r="M251" s="25" t="s">
        <v>69</v>
      </c>
      <c r="N251" s="25" t="s">
        <v>70</v>
      </c>
      <c r="O251" s="25">
        <v>2.1000000254E10</v>
      </c>
      <c r="P251" s="26" t="s">
        <v>1772</v>
      </c>
      <c r="Q251" s="27" t="s">
        <v>1773</v>
      </c>
      <c r="R251" s="28" t="s">
        <v>1413</v>
      </c>
      <c r="S251" s="29">
        <f t="shared" si="1"/>
        <v>2</v>
      </c>
      <c r="T251" s="30"/>
      <c r="U251" s="30"/>
      <c r="V251" s="30"/>
      <c r="W251" s="30"/>
      <c r="X251" s="30"/>
      <c r="Y251" s="30"/>
      <c r="Z251" s="29">
        <v>2.0</v>
      </c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1"/>
      <c r="AT251" s="38" t="s">
        <v>1774</v>
      </c>
      <c r="AU251" s="32">
        <f t="shared" si="2"/>
        <v>28.73</v>
      </c>
      <c r="AV251" s="33">
        <f t="shared" si="3"/>
        <v>37.349</v>
      </c>
      <c r="AW251" s="34"/>
      <c r="AX251" s="42">
        <v>25.35</v>
      </c>
      <c r="AY251" s="39" t="s">
        <v>1775</v>
      </c>
      <c r="AZ251" s="34"/>
      <c r="BA251" s="30"/>
      <c r="BB251" s="30"/>
      <c r="BC251" s="35"/>
      <c r="BD251" s="42">
        <v>35.0</v>
      </c>
      <c r="BE251" s="39" t="s">
        <v>1776</v>
      </c>
      <c r="BF251" s="31"/>
      <c r="BG251" s="30"/>
      <c r="BH251" s="30"/>
      <c r="BI251" s="31"/>
      <c r="BJ251" s="42">
        <v>25.84</v>
      </c>
      <c r="BK251" s="39" t="s">
        <v>1777</v>
      </c>
      <c r="BL251" s="30"/>
      <c r="BM251" s="30"/>
    </row>
    <row r="252">
      <c r="A252" s="18" t="s">
        <v>36</v>
      </c>
      <c r="B252" s="18" t="s">
        <v>1778</v>
      </c>
      <c r="C252" s="19" t="s">
        <v>1779</v>
      </c>
      <c r="D252" s="19" t="s">
        <v>67</v>
      </c>
      <c r="E252" s="19" t="s">
        <v>68</v>
      </c>
      <c r="F252" s="20">
        <v>3.0</v>
      </c>
      <c r="G252" s="21">
        <v>3.0</v>
      </c>
      <c r="H252" s="21">
        <v>105.0</v>
      </c>
      <c r="I252" s="21">
        <v>315.0</v>
      </c>
      <c r="J252" s="36" t="s">
        <v>1110</v>
      </c>
      <c r="K252" s="78">
        <v>163.04</v>
      </c>
      <c r="L252" s="24">
        <v>251.0</v>
      </c>
      <c r="M252" s="25" t="s">
        <v>69</v>
      </c>
      <c r="N252" s="25" t="s">
        <v>70</v>
      </c>
      <c r="O252" s="25">
        <v>2.1000000667E10</v>
      </c>
      <c r="P252" s="26" t="s">
        <v>1780</v>
      </c>
      <c r="Q252" s="27" t="s">
        <v>1781</v>
      </c>
      <c r="R252" s="28" t="s">
        <v>1113</v>
      </c>
      <c r="S252" s="29">
        <f t="shared" si="1"/>
        <v>3</v>
      </c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29">
        <v>3.0</v>
      </c>
      <c r="AL252" s="30"/>
      <c r="AM252" s="30"/>
      <c r="AN252" s="30"/>
      <c r="AO252" s="30"/>
      <c r="AP252" s="30"/>
      <c r="AQ252" s="30"/>
      <c r="AR252" s="30"/>
      <c r="AS252" s="31"/>
      <c r="AT252" s="38"/>
      <c r="AU252" s="32"/>
      <c r="AV252" s="33">
        <f t="shared" si="3"/>
        <v>0</v>
      </c>
      <c r="AW252" s="34"/>
      <c r="AX252" s="32"/>
      <c r="AY252" s="49"/>
      <c r="AZ252" s="34"/>
      <c r="BA252" s="30"/>
      <c r="BB252" s="30"/>
      <c r="BC252" s="35"/>
      <c r="BD252" s="32"/>
      <c r="BE252" s="31"/>
      <c r="BF252" s="31"/>
      <c r="BG252" s="30"/>
      <c r="BH252" s="30"/>
      <c r="BI252" s="31"/>
      <c r="BJ252" s="32"/>
      <c r="BK252" s="31"/>
      <c r="BL252" s="30"/>
      <c r="BM252" s="30"/>
    </row>
    <row r="253">
      <c r="A253" s="18" t="s">
        <v>42</v>
      </c>
      <c r="B253" s="48" t="s">
        <v>1782</v>
      </c>
      <c r="C253" s="19" t="s">
        <v>1783</v>
      </c>
      <c r="D253" s="19" t="s">
        <v>67</v>
      </c>
      <c r="E253" s="19" t="s">
        <v>68</v>
      </c>
      <c r="F253" s="20">
        <v>200.0</v>
      </c>
      <c r="G253" s="21">
        <v>100.0</v>
      </c>
      <c r="H253" s="21">
        <v>0.68</v>
      </c>
      <c r="I253" s="21">
        <v>68.0</v>
      </c>
      <c r="J253" s="45"/>
      <c r="K253" s="23">
        <v>0.96</v>
      </c>
      <c r="L253" s="24">
        <v>252.0</v>
      </c>
      <c r="M253" s="25" t="s">
        <v>69</v>
      </c>
      <c r="N253" s="25" t="s">
        <v>70</v>
      </c>
      <c r="O253" s="25">
        <v>2.1000000349E10</v>
      </c>
      <c r="P253" s="26" t="s">
        <v>1784</v>
      </c>
      <c r="Q253" s="27" t="s">
        <v>1785</v>
      </c>
      <c r="R253" s="28" t="s">
        <v>79</v>
      </c>
      <c r="S253" s="29">
        <f t="shared" si="1"/>
        <v>300</v>
      </c>
      <c r="T253" s="30"/>
      <c r="U253" s="30"/>
      <c r="V253" s="30"/>
      <c r="W253" s="30"/>
      <c r="X253" s="30"/>
      <c r="Y253" s="30"/>
      <c r="Z253" s="38">
        <v>200.0</v>
      </c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29">
        <v>100.0</v>
      </c>
      <c r="AR253" s="30"/>
      <c r="AS253" s="31"/>
      <c r="AT253" s="38" t="s">
        <v>1774</v>
      </c>
      <c r="AU253" s="32">
        <f t="shared" ref="AU253:AU310" si="4">AVERAGE(AX253,BD253,BJ253)</f>
        <v>68.48</v>
      </c>
      <c r="AV253" s="33">
        <f t="shared" si="3"/>
        <v>89.024</v>
      </c>
      <c r="AW253" s="34"/>
      <c r="AX253" s="90">
        <v>66.7</v>
      </c>
      <c r="AY253" s="39" t="s">
        <v>1786</v>
      </c>
      <c r="AZ253" s="34"/>
      <c r="BA253" s="30"/>
      <c r="BB253" s="30"/>
      <c r="BC253" s="35"/>
      <c r="BD253" s="42">
        <v>69.22</v>
      </c>
      <c r="BE253" s="39" t="s">
        <v>1787</v>
      </c>
      <c r="BF253" s="31"/>
      <c r="BG253" s="30"/>
      <c r="BH253" s="30"/>
      <c r="BI253" s="31"/>
      <c r="BJ253" s="42">
        <v>69.52</v>
      </c>
      <c r="BK253" s="39" t="s">
        <v>1788</v>
      </c>
      <c r="BL253" s="30"/>
      <c r="BM253" s="30"/>
    </row>
    <row r="254">
      <c r="A254" s="18" t="s">
        <v>41</v>
      </c>
      <c r="B254" s="18" t="s">
        <v>1789</v>
      </c>
      <c r="C254" s="19" t="s">
        <v>1790</v>
      </c>
      <c r="D254" s="19" t="s">
        <v>67</v>
      </c>
      <c r="E254" s="19" t="s">
        <v>68</v>
      </c>
      <c r="F254" s="20">
        <v>1.0</v>
      </c>
      <c r="G254" s="21">
        <v>1.0</v>
      </c>
      <c r="H254" s="21">
        <v>48.9</v>
      </c>
      <c r="I254" s="21">
        <v>48.9</v>
      </c>
      <c r="J254" s="45"/>
      <c r="K254" s="23">
        <v>52.38</v>
      </c>
      <c r="L254" s="24">
        <v>253.0</v>
      </c>
      <c r="M254" s="25" t="s">
        <v>69</v>
      </c>
      <c r="N254" s="25" t="s">
        <v>70</v>
      </c>
      <c r="O254" s="25">
        <v>2.1000000249E10</v>
      </c>
      <c r="P254" s="26" t="s">
        <v>1791</v>
      </c>
      <c r="Q254" s="27" t="s">
        <v>1792</v>
      </c>
      <c r="R254" s="28" t="s">
        <v>1042</v>
      </c>
      <c r="S254" s="29">
        <f t="shared" si="1"/>
        <v>35</v>
      </c>
      <c r="T254" s="30"/>
      <c r="U254" s="30"/>
      <c r="V254" s="38">
        <v>5.0</v>
      </c>
      <c r="W254" s="30"/>
      <c r="X254" s="30"/>
      <c r="Y254" s="38">
        <v>15.0</v>
      </c>
      <c r="Z254" s="38">
        <v>4.0</v>
      </c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8">
        <v>10.0</v>
      </c>
      <c r="AN254" s="30"/>
      <c r="AO254" s="30"/>
      <c r="AP254" s="29">
        <v>1.0</v>
      </c>
      <c r="AQ254" s="30"/>
      <c r="AR254" s="30"/>
      <c r="AS254" s="31"/>
      <c r="AT254" s="38" t="s">
        <v>168</v>
      </c>
      <c r="AU254" s="32">
        <f t="shared" si="4"/>
        <v>0.1204066667</v>
      </c>
      <c r="AV254" s="33">
        <f t="shared" si="3"/>
        <v>0.1565286667</v>
      </c>
      <c r="AW254" s="34"/>
      <c r="AX254" s="32">
        <f>55.41/500</f>
        <v>0.11082</v>
      </c>
      <c r="AY254" s="39" t="s">
        <v>1793</v>
      </c>
      <c r="AZ254" s="34"/>
      <c r="BA254" s="30"/>
      <c r="BB254" s="30"/>
      <c r="BC254" s="35"/>
      <c r="BD254" s="32">
        <f>58/500</f>
        <v>0.116</v>
      </c>
      <c r="BE254" s="46" t="s">
        <v>1794</v>
      </c>
      <c r="BF254" s="31"/>
      <c r="BG254" s="30"/>
      <c r="BH254" s="30"/>
      <c r="BI254" s="31"/>
      <c r="BJ254" s="32">
        <f>67.2/500</f>
        <v>0.1344</v>
      </c>
      <c r="BK254" s="46" t="s">
        <v>1795</v>
      </c>
      <c r="BL254" s="30"/>
      <c r="BM254" s="30"/>
    </row>
    <row r="255">
      <c r="A255" s="18" t="s">
        <v>25</v>
      </c>
      <c r="B255" s="18" t="s">
        <v>1796</v>
      </c>
      <c r="C255" s="19" t="s">
        <v>1797</v>
      </c>
      <c r="D255" s="19" t="s">
        <v>67</v>
      </c>
      <c r="E255" s="19" t="s">
        <v>68</v>
      </c>
      <c r="F255" s="20">
        <v>200.0</v>
      </c>
      <c r="G255" s="21">
        <v>2.0</v>
      </c>
      <c r="H255" s="21">
        <v>100.0</v>
      </c>
      <c r="I255" s="21">
        <v>200.0</v>
      </c>
      <c r="J255" s="36" t="s">
        <v>1798</v>
      </c>
      <c r="K255" s="23">
        <v>0.14</v>
      </c>
      <c r="L255" s="24">
        <v>254.0</v>
      </c>
      <c r="M255" s="25" t="s">
        <v>69</v>
      </c>
      <c r="N255" s="25" t="s">
        <v>70</v>
      </c>
      <c r="O255" s="25">
        <v>2.1000000247E10</v>
      </c>
      <c r="P255" s="26" t="s">
        <v>1799</v>
      </c>
      <c r="Q255" s="27" t="s">
        <v>1800</v>
      </c>
      <c r="R255" s="28" t="s">
        <v>834</v>
      </c>
      <c r="S255" s="29">
        <f t="shared" si="1"/>
        <v>2500</v>
      </c>
      <c r="T255" s="30"/>
      <c r="U255" s="30"/>
      <c r="V255" s="30"/>
      <c r="W255" s="30"/>
      <c r="X255" s="30"/>
      <c r="Y255" s="30"/>
      <c r="Z255" s="28">
        <f>1000+1000</f>
        <v>2000</v>
      </c>
      <c r="AA255" s="30"/>
      <c r="AB255" s="30"/>
      <c r="AC255" s="38">
        <v>500.0</v>
      </c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1"/>
      <c r="AT255" s="30"/>
      <c r="AU255" s="32">
        <f t="shared" si="4"/>
        <v>0.1436466667</v>
      </c>
      <c r="AV255" s="33">
        <f t="shared" si="3"/>
        <v>0.1867406667</v>
      </c>
      <c r="AW255" s="34"/>
      <c r="AX255" s="42">
        <f>75/500</f>
        <v>0.15</v>
      </c>
      <c r="AY255" s="39" t="s">
        <v>1801</v>
      </c>
      <c r="AZ255" s="34"/>
      <c r="BA255" s="30"/>
      <c r="BB255" s="30"/>
      <c r="BC255" s="35"/>
      <c r="BD255" s="42">
        <f>80/500</f>
        <v>0.16</v>
      </c>
      <c r="BE255" s="39" t="s">
        <v>1802</v>
      </c>
      <c r="BF255" s="31"/>
      <c r="BG255" s="30"/>
      <c r="BH255" s="30"/>
      <c r="BI255" s="31"/>
      <c r="BJ255" s="42">
        <f>60.47/500</f>
        <v>0.12094</v>
      </c>
      <c r="BK255" s="39" t="s">
        <v>1803</v>
      </c>
      <c r="BL255" s="30"/>
      <c r="BM255" s="30"/>
    </row>
    <row r="256">
      <c r="A256" s="18" t="s">
        <v>20</v>
      </c>
      <c r="B256" s="18" t="s">
        <v>1804</v>
      </c>
      <c r="C256" s="19" t="s">
        <v>633</v>
      </c>
      <c r="D256" s="19" t="s">
        <v>67</v>
      </c>
      <c r="E256" s="19" t="s">
        <v>68</v>
      </c>
      <c r="F256" s="20">
        <v>1.0</v>
      </c>
      <c r="G256" s="21">
        <v>1.0</v>
      </c>
      <c r="H256" s="21">
        <v>104.02</v>
      </c>
      <c r="I256" s="21">
        <v>104.02</v>
      </c>
      <c r="J256" s="45"/>
      <c r="K256" s="23">
        <v>76.07</v>
      </c>
      <c r="L256" s="24">
        <v>255.0</v>
      </c>
      <c r="M256" s="25" t="s">
        <v>69</v>
      </c>
      <c r="N256" s="25" t="s">
        <v>70</v>
      </c>
      <c r="O256" s="25">
        <v>2.1000000655E10</v>
      </c>
      <c r="P256" s="26" t="s">
        <v>1805</v>
      </c>
      <c r="Q256" s="27" t="s">
        <v>1806</v>
      </c>
      <c r="R256" s="28" t="s">
        <v>208</v>
      </c>
      <c r="S256" s="29">
        <f t="shared" si="1"/>
        <v>4</v>
      </c>
      <c r="T256" s="38">
        <v>2.0</v>
      </c>
      <c r="U256" s="29">
        <v>1.0</v>
      </c>
      <c r="V256" s="30"/>
      <c r="W256" s="30"/>
      <c r="X256" s="30"/>
      <c r="Y256" s="30"/>
      <c r="Z256" s="38">
        <v>1.0</v>
      </c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49"/>
      <c r="AT256" s="38" t="s">
        <v>1774</v>
      </c>
      <c r="AU256" s="32">
        <f t="shared" si="4"/>
        <v>71.06666667</v>
      </c>
      <c r="AV256" s="33">
        <f t="shared" si="3"/>
        <v>92.38666667</v>
      </c>
      <c r="AW256" s="37"/>
      <c r="AX256" s="42">
        <v>78.0</v>
      </c>
      <c r="AY256" s="39" t="s">
        <v>1807</v>
      </c>
      <c r="AZ256" s="37"/>
      <c r="BA256" s="38"/>
      <c r="BB256" s="38"/>
      <c r="BC256" s="41"/>
      <c r="BD256" s="42">
        <v>70.2</v>
      </c>
      <c r="BE256" s="39" t="s">
        <v>1808</v>
      </c>
      <c r="BF256" s="49"/>
      <c r="BG256" s="38"/>
      <c r="BH256" s="38"/>
      <c r="BI256" s="49"/>
      <c r="BJ256" s="42">
        <v>65.0</v>
      </c>
      <c r="BK256" s="39" t="s">
        <v>1809</v>
      </c>
      <c r="BL256" s="38"/>
      <c r="BM256" s="38"/>
    </row>
    <row r="257">
      <c r="A257" s="18" t="s">
        <v>25</v>
      </c>
      <c r="B257" s="48" t="s">
        <v>1810</v>
      </c>
      <c r="C257" s="19" t="s">
        <v>1811</v>
      </c>
      <c r="D257" s="19" t="s">
        <v>67</v>
      </c>
      <c r="E257" s="19" t="s">
        <v>68</v>
      </c>
      <c r="F257" s="20">
        <v>1.0</v>
      </c>
      <c r="G257" s="21">
        <v>1.0</v>
      </c>
      <c r="H257" s="21">
        <v>399.98</v>
      </c>
      <c r="I257" s="21">
        <v>399.98</v>
      </c>
      <c r="J257" s="45"/>
      <c r="K257" s="23">
        <v>554.33</v>
      </c>
      <c r="L257" s="24">
        <v>256.0</v>
      </c>
      <c r="M257" s="25" t="s">
        <v>69</v>
      </c>
      <c r="N257" s="25" t="s">
        <v>70</v>
      </c>
      <c r="O257" s="25">
        <v>2.1000000551E10</v>
      </c>
      <c r="P257" s="26" t="s">
        <v>1812</v>
      </c>
      <c r="Q257" s="27" t="s">
        <v>1813</v>
      </c>
      <c r="R257" s="28" t="s">
        <v>1042</v>
      </c>
      <c r="S257" s="29">
        <f t="shared" si="1"/>
        <v>2</v>
      </c>
      <c r="T257" s="30"/>
      <c r="U257" s="30"/>
      <c r="V257" s="30"/>
      <c r="W257" s="30"/>
      <c r="X257" s="30"/>
      <c r="Y257" s="30"/>
      <c r="Z257" s="28">
        <v>2.0</v>
      </c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1"/>
      <c r="AT257" s="38"/>
      <c r="AU257" s="32" t="str">
        <f t="shared" si="4"/>
        <v>#DIV/0!</v>
      </c>
      <c r="AV257" s="33" t="str">
        <f t="shared" si="3"/>
        <v>#DIV/0!</v>
      </c>
      <c r="AW257" s="34"/>
      <c r="AX257" s="42"/>
      <c r="AY257" s="49"/>
      <c r="AZ257" s="34"/>
      <c r="BA257" s="30"/>
      <c r="BB257" s="30"/>
      <c r="BC257" s="35"/>
      <c r="BD257" s="32"/>
      <c r="BE257" s="31"/>
      <c r="BF257" s="31"/>
      <c r="BG257" s="30"/>
      <c r="BH257" s="30"/>
      <c r="BI257" s="31"/>
      <c r="BJ257" s="32"/>
      <c r="BK257" s="31"/>
      <c r="BL257" s="30"/>
      <c r="BM257" s="30"/>
    </row>
    <row r="258">
      <c r="A258" s="18" t="s">
        <v>25</v>
      </c>
      <c r="B258" s="48" t="s">
        <v>1814</v>
      </c>
      <c r="C258" s="19" t="s">
        <v>1815</v>
      </c>
      <c r="D258" s="19" t="s">
        <v>67</v>
      </c>
      <c r="E258" s="19" t="s">
        <v>68</v>
      </c>
      <c r="F258" s="20">
        <v>1.0</v>
      </c>
      <c r="G258" s="21">
        <v>1.0</v>
      </c>
      <c r="H258" s="21">
        <v>138.65</v>
      </c>
      <c r="I258" s="21">
        <v>138.65</v>
      </c>
      <c r="J258" s="45"/>
      <c r="K258" s="23">
        <v>268.3</v>
      </c>
      <c r="L258" s="24">
        <v>257.0</v>
      </c>
      <c r="M258" s="25" t="s">
        <v>69</v>
      </c>
      <c r="N258" s="25" t="s">
        <v>70</v>
      </c>
      <c r="O258" s="25">
        <v>2.1000000552E10</v>
      </c>
      <c r="P258" s="26" t="s">
        <v>1816</v>
      </c>
      <c r="Q258" s="27" t="s">
        <v>1817</v>
      </c>
      <c r="R258" s="28" t="s">
        <v>1042</v>
      </c>
      <c r="S258" s="29">
        <f t="shared" si="1"/>
        <v>2</v>
      </c>
      <c r="T258" s="30"/>
      <c r="U258" s="30"/>
      <c r="V258" s="30"/>
      <c r="W258" s="30"/>
      <c r="X258" s="30"/>
      <c r="Y258" s="30"/>
      <c r="Z258" s="28">
        <v>2.0</v>
      </c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1"/>
      <c r="AT258" s="30"/>
      <c r="AU258" s="32" t="str">
        <f t="shared" si="4"/>
        <v>#DIV/0!</v>
      </c>
      <c r="AV258" s="33" t="str">
        <f t="shared" si="3"/>
        <v>#DIV/0!</v>
      </c>
      <c r="AW258" s="34"/>
      <c r="AX258" s="32"/>
      <c r="AY258" s="31"/>
      <c r="AZ258" s="34"/>
      <c r="BA258" s="30"/>
      <c r="BB258" s="30"/>
      <c r="BC258" s="35"/>
      <c r="BD258" s="32"/>
      <c r="BE258" s="31"/>
      <c r="BF258" s="31"/>
      <c r="BG258" s="30"/>
      <c r="BH258" s="30"/>
      <c r="BI258" s="31"/>
      <c r="BJ258" s="32"/>
      <c r="BK258" s="31"/>
      <c r="BL258" s="30"/>
      <c r="BM258" s="30"/>
    </row>
    <row r="259">
      <c r="A259" s="18" t="s">
        <v>25</v>
      </c>
      <c r="B259" s="18" t="s">
        <v>1818</v>
      </c>
      <c r="C259" s="19" t="s">
        <v>1819</v>
      </c>
      <c r="D259" s="19" t="s">
        <v>67</v>
      </c>
      <c r="E259" s="19" t="s">
        <v>68</v>
      </c>
      <c r="F259" s="20">
        <v>1.0</v>
      </c>
      <c r="G259" s="21">
        <v>1.0</v>
      </c>
      <c r="H259" s="21">
        <v>138.65</v>
      </c>
      <c r="I259" s="21">
        <v>138.65</v>
      </c>
      <c r="J259" s="45"/>
      <c r="K259" s="23">
        <v>404.46</v>
      </c>
      <c r="L259" s="24">
        <v>258.0</v>
      </c>
      <c r="M259" s="25" t="s">
        <v>69</v>
      </c>
      <c r="N259" s="25" t="s">
        <v>70</v>
      </c>
      <c r="O259" s="25">
        <v>2.1000000553E10</v>
      </c>
      <c r="P259" s="26" t="s">
        <v>1820</v>
      </c>
      <c r="Q259" s="27" t="s">
        <v>1821</v>
      </c>
      <c r="R259" s="28" t="s">
        <v>1042</v>
      </c>
      <c r="S259" s="29">
        <f t="shared" si="1"/>
        <v>2</v>
      </c>
      <c r="T259" s="30"/>
      <c r="U259" s="30"/>
      <c r="V259" s="30"/>
      <c r="W259" s="30"/>
      <c r="X259" s="30"/>
      <c r="Y259" s="30"/>
      <c r="Z259" s="28">
        <v>2.0</v>
      </c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1"/>
      <c r="AT259" s="38" t="s">
        <v>1774</v>
      </c>
      <c r="AU259" s="32">
        <f t="shared" si="4"/>
        <v>404.46</v>
      </c>
      <c r="AV259" s="33">
        <f t="shared" si="3"/>
        <v>525.798</v>
      </c>
      <c r="AW259" s="34"/>
      <c r="AX259" s="42">
        <v>404.46</v>
      </c>
      <c r="AY259" s="39" t="s">
        <v>1822</v>
      </c>
      <c r="AZ259" s="34"/>
      <c r="BA259" s="30"/>
      <c r="BB259" s="30"/>
      <c r="BC259" s="35"/>
      <c r="BD259" s="32"/>
      <c r="BE259" s="31"/>
      <c r="BF259" s="31"/>
      <c r="BG259" s="30"/>
      <c r="BH259" s="30"/>
      <c r="BI259" s="31"/>
      <c r="BJ259" s="32"/>
      <c r="BK259" s="31"/>
      <c r="BL259" s="30"/>
      <c r="BM259" s="30"/>
    </row>
    <row r="260">
      <c r="A260" s="18" t="s">
        <v>22</v>
      </c>
      <c r="B260" s="18" t="s">
        <v>1823</v>
      </c>
      <c r="C260" s="19" t="s">
        <v>1824</v>
      </c>
      <c r="D260" s="19" t="s">
        <v>67</v>
      </c>
      <c r="E260" s="19" t="s">
        <v>68</v>
      </c>
      <c r="F260" s="20">
        <v>1.0</v>
      </c>
      <c r="G260" s="21">
        <v>1.0</v>
      </c>
      <c r="H260" s="21">
        <v>12.59</v>
      </c>
      <c r="I260" s="21">
        <v>12.59</v>
      </c>
      <c r="J260" s="45"/>
      <c r="K260" s="23">
        <v>20.82</v>
      </c>
      <c r="L260" s="24">
        <v>259.0</v>
      </c>
      <c r="M260" s="25" t="s">
        <v>69</v>
      </c>
      <c r="N260" s="25" t="s">
        <v>70</v>
      </c>
      <c r="O260" s="25">
        <v>2.1000000283E10</v>
      </c>
      <c r="P260" s="26" t="s">
        <v>1825</v>
      </c>
      <c r="Q260" s="27" t="s">
        <v>1826</v>
      </c>
      <c r="R260" s="28" t="s">
        <v>1042</v>
      </c>
      <c r="S260" s="29">
        <f t="shared" si="1"/>
        <v>2</v>
      </c>
      <c r="T260" s="30"/>
      <c r="U260" s="30"/>
      <c r="V260" s="30"/>
      <c r="W260" s="29">
        <v>1.0</v>
      </c>
      <c r="X260" s="30"/>
      <c r="Y260" s="30"/>
      <c r="Z260" s="38">
        <v>1.0</v>
      </c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1"/>
      <c r="AT260" s="38" t="s">
        <v>1774</v>
      </c>
      <c r="AU260" s="32">
        <f t="shared" si="4"/>
        <v>16.29666667</v>
      </c>
      <c r="AV260" s="33">
        <f t="shared" si="3"/>
        <v>21.18566667</v>
      </c>
      <c r="AW260" s="34"/>
      <c r="AX260" s="42">
        <v>15.64</v>
      </c>
      <c r="AY260" s="39" t="s">
        <v>1827</v>
      </c>
      <c r="AZ260" s="34"/>
      <c r="BA260" s="30"/>
      <c r="BB260" s="30"/>
      <c r="BC260" s="35"/>
      <c r="BD260" s="42">
        <v>14.13</v>
      </c>
      <c r="BE260" s="39" t="s">
        <v>1828</v>
      </c>
      <c r="BF260" s="31"/>
      <c r="BG260" s="30"/>
      <c r="BH260" s="30"/>
      <c r="BI260" s="31"/>
      <c r="BJ260" s="42">
        <v>19.12</v>
      </c>
      <c r="BK260" s="39" t="s">
        <v>1829</v>
      </c>
      <c r="BL260" s="30"/>
      <c r="BM260" s="30"/>
    </row>
    <row r="261">
      <c r="A261" s="18" t="s">
        <v>25</v>
      </c>
      <c r="B261" s="18" t="s">
        <v>1830</v>
      </c>
      <c r="C261" s="19" t="s">
        <v>1831</v>
      </c>
      <c r="D261" s="19" t="s">
        <v>67</v>
      </c>
      <c r="E261" s="19" t="s">
        <v>68</v>
      </c>
      <c r="F261" s="20">
        <v>2.0</v>
      </c>
      <c r="G261" s="21">
        <v>2.0</v>
      </c>
      <c r="H261" s="21">
        <v>19.0</v>
      </c>
      <c r="I261" s="21">
        <v>38.0</v>
      </c>
      <c r="J261" s="45"/>
      <c r="K261" s="23">
        <v>43.25</v>
      </c>
      <c r="L261" s="24">
        <v>260.0</v>
      </c>
      <c r="M261" s="25" t="s">
        <v>69</v>
      </c>
      <c r="N261" s="25" t="s">
        <v>70</v>
      </c>
      <c r="O261" s="25">
        <v>2.1000000284E10</v>
      </c>
      <c r="P261" s="26" t="s">
        <v>1832</v>
      </c>
      <c r="Q261" s="27" t="s">
        <v>1833</v>
      </c>
      <c r="R261" s="28" t="s">
        <v>1042</v>
      </c>
      <c r="S261" s="29">
        <f t="shared" si="1"/>
        <v>2</v>
      </c>
      <c r="T261" s="30"/>
      <c r="U261" s="30"/>
      <c r="V261" s="30"/>
      <c r="W261" s="30"/>
      <c r="X261" s="30"/>
      <c r="Y261" s="30"/>
      <c r="Z261" s="29">
        <v>2.0</v>
      </c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1"/>
      <c r="AT261" s="38" t="s">
        <v>1731</v>
      </c>
      <c r="AU261" s="32">
        <f t="shared" si="4"/>
        <v>43.25</v>
      </c>
      <c r="AV261" s="33">
        <f t="shared" si="3"/>
        <v>56.225</v>
      </c>
      <c r="AW261" s="34"/>
      <c r="AX261" s="82">
        <v>41.67</v>
      </c>
      <c r="AY261" s="39" t="s">
        <v>1834</v>
      </c>
      <c r="AZ261" s="34"/>
      <c r="BA261" s="30"/>
      <c r="BB261" s="30"/>
      <c r="BC261" s="35"/>
      <c r="BD261" s="82">
        <v>43.08</v>
      </c>
      <c r="BE261" s="39" t="s">
        <v>1835</v>
      </c>
      <c r="BF261" s="31"/>
      <c r="BG261" s="30"/>
      <c r="BH261" s="30"/>
      <c r="BI261" s="31"/>
      <c r="BJ261" s="82">
        <v>45.0</v>
      </c>
      <c r="BK261" s="46" t="s">
        <v>1836</v>
      </c>
      <c r="BL261" s="30"/>
      <c r="BM261" s="30"/>
    </row>
    <row r="262">
      <c r="A262" s="18" t="s">
        <v>20</v>
      </c>
      <c r="B262" s="18" t="s">
        <v>1837</v>
      </c>
      <c r="C262" s="19" t="s">
        <v>1838</v>
      </c>
      <c r="D262" s="19" t="s">
        <v>67</v>
      </c>
      <c r="E262" s="19" t="s">
        <v>68</v>
      </c>
      <c r="F262" s="20">
        <v>1.0</v>
      </c>
      <c r="G262" s="21">
        <v>1.0</v>
      </c>
      <c r="H262" s="21">
        <v>32.2</v>
      </c>
      <c r="I262" s="21">
        <v>32.2</v>
      </c>
      <c r="J262" s="45"/>
      <c r="K262" s="23">
        <v>31.55</v>
      </c>
      <c r="L262" s="24">
        <v>261.0</v>
      </c>
      <c r="M262" s="25" t="s">
        <v>69</v>
      </c>
      <c r="N262" s="25" t="s">
        <v>70</v>
      </c>
      <c r="O262" s="25">
        <v>2.1000000285E10</v>
      </c>
      <c r="P262" s="26" t="s">
        <v>1839</v>
      </c>
      <c r="Q262" s="27" t="s">
        <v>1840</v>
      </c>
      <c r="R262" s="28" t="s">
        <v>1042</v>
      </c>
      <c r="S262" s="29">
        <f t="shared" si="1"/>
        <v>3</v>
      </c>
      <c r="T262" s="30"/>
      <c r="U262" s="29">
        <v>1.0</v>
      </c>
      <c r="V262" s="30"/>
      <c r="W262" s="38">
        <v>1.0</v>
      </c>
      <c r="X262" s="30"/>
      <c r="Y262" s="30"/>
      <c r="Z262" s="38">
        <v>1.0</v>
      </c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1"/>
      <c r="AT262" s="38" t="s">
        <v>1774</v>
      </c>
      <c r="AU262" s="32">
        <f t="shared" si="4"/>
        <v>23.81333333</v>
      </c>
      <c r="AV262" s="33">
        <f t="shared" si="3"/>
        <v>30.95733333</v>
      </c>
      <c r="AW262" s="34"/>
      <c r="AX262" s="42">
        <v>24.0</v>
      </c>
      <c r="AY262" s="39" t="s">
        <v>1841</v>
      </c>
      <c r="AZ262" s="34"/>
      <c r="BA262" s="30"/>
      <c r="BB262" s="30"/>
      <c r="BC262" s="35"/>
      <c r="BD262" s="42">
        <v>21.98</v>
      </c>
      <c r="BE262" s="39" t="s">
        <v>1842</v>
      </c>
      <c r="BF262" s="31"/>
      <c r="BG262" s="30"/>
      <c r="BH262" s="30"/>
      <c r="BI262" s="31"/>
      <c r="BJ262" s="42">
        <v>25.46</v>
      </c>
      <c r="BK262" s="46" t="s">
        <v>1843</v>
      </c>
      <c r="BL262" s="30"/>
      <c r="BM262" s="30"/>
    </row>
    <row r="263">
      <c r="A263" s="18" t="s">
        <v>20</v>
      </c>
      <c r="B263" s="18" t="s">
        <v>1844</v>
      </c>
      <c r="C263" s="19" t="s">
        <v>1845</v>
      </c>
      <c r="D263" s="19" t="s">
        <v>67</v>
      </c>
      <c r="E263" s="19" t="s">
        <v>68</v>
      </c>
      <c r="F263" s="20">
        <v>1.0</v>
      </c>
      <c r="G263" s="21">
        <v>1.0</v>
      </c>
      <c r="H263" s="21">
        <v>32.2</v>
      </c>
      <c r="I263" s="21">
        <v>32.2</v>
      </c>
      <c r="J263" s="45"/>
      <c r="K263" s="23">
        <v>32.92</v>
      </c>
      <c r="L263" s="24">
        <v>262.0</v>
      </c>
      <c r="M263" s="25" t="s">
        <v>69</v>
      </c>
      <c r="N263" s="25" t="s">
        <v>70</v>
      </c>
      <c r="O263" s="25">
        <v>2.1000000241E10</v>
      </c>
      <c r="P263" s="26" t="s">
        <v>1846</v>
      </c>
      <c r="Q263" s="27" t="s">
        <v>1847</v>
      </c>
      <c r="R263" s="28" t="s">
        <v>1042</v>
      </c>
      <c r="S263" s="29">
        <f t="shared" si="1"/>
        <v>3</v>
      </c>
      <c r="T263" s="30"/>
      <c r="U263" s="29">
        <f>1+1</f>
        <v>2</v>
      </c>
      <c r="V263" s="30"/>
      <c r="W263" s="38">
        <v>1.0</v>
      </c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1"/>
      <c r="AT263" s="38" t="s">
        <v>1774</v>
      </c>
      <c r="AU263" s="32">
        <f t="shared" si="4"/>
        <v>25.32666667</v>
      </c>
      <c r="AV263" s="33">
        <f t="shared" si="3"/>
        <v>32.92466667</v>
      </c>
      <c r="AW263" s="34"/>
      <c r="AX263" s="42">
        <v>30.0</v>
      </c>
      <c r="AY263" s="39" t="s">
        <v>1848</v>
      </c>
      <c r="AZ263" s="34"/>
      <c r="BA263" s="30"/>
      <c r="BB263" s="30"/>
      <c r="BC263" s="35"/>
      <c r="BD263" s="42">
        <v>24.0</v>
      </c>
      <c r="BE263" s="39" t="s">
        <v>1849</v>
      </c>
      <c r="BF263" s="31"/>
      <c r="BG263" s="30"/>
      <c r="BH263" s="30"/>
      <c r="BI263" s="31"/>
      <c r="BJ263" s="42">
        <v>21.98</v>
      </c>
      <c r="BK263" s="39" t="s">
        <v>1850</v>
      </c>
      <c r="BL263" s="30"/>
      <c r="BM263" s="30"/>
    </row>
    <row r="264">
      <c r="A264" s="18" t="s">
        <v>36</v>
      </c>
      <c r="B264" s="18" t="s">
        <v>1851</v>
      </c>
      <c r="C264" s="19" t="s">
        <v>1852</v>
      </c>
      <c r="D264" s="19" t="s">
        <v>67</v>
      </c>
      <c r="E264" s="19" t="s">
        <v>68</v>
      </c>
      <c r="F264" s="20">
        <v>1.0</v>
      </c>
      <c r="G264" s="21">
        <v>1.0</v>
      </c>
      <c r="H264" s="21">
        <v>420.0</v>
      </c>
      <c r="I264" s="21">
        <v>420.0</v>
      </c>
      <c r="J264" s="45"/>
      <c r="K264" s="78">
        <v>761.4</v>
      </c>
      <c r="L264" s="24">
        <v>263.0</v>
      </c>
      <c r="M264" s="25" t="s">
        <v>69</v>
      </c>
      <c r="N264" s="25" t="s">
        <v>70</v>
      </c>
      <c r="O264" s="25">
        <v>2.1000000677E10</v>
      </c>
      <c r="P264" s="26" t="s">
        <v>1853</v>
      </c>
      <c r="Q264" s="27" t="s">
        <v>1854</v>
      </c>
      <c r="R264" s="28" t="s">
        <v>1855</v>
      </c>
      <c r="S264" s="29">
        <f t="shared" si="1"/>
        <v>5</v>
      </c>
      <c r="T264" s="30"/>
      <c r="U264" s="30"/>
      <c r="V264" s="30"/>
      <c r="W264" s="30"/>
      <c r="X264" s="30"/>
      <c r="Y264" s="30"/>
      <c r="Z264" s="38">
        <v>2.0</v>
      </c>
      <c r="AA264" s="30"/>
      <c r="AB264" s="30"/>
      <c r="AC264" s="30"/>
      <c r="AD264" s="30"/>
      <c r="AE264" s="30"/>
      <c r="AF264" s="30"/>
      <c r="AG264" s="38">
        <v>2.0</v>
      </c>
      <c r="AH264" s="30"/>
      <c r="AI264" s="30"/>
      <c r="AJ264" s="30"/>
      <c r="AK264" s="29">
        <v>1.0</v>
      </c>
      <c r="AL264" s="30"/>
      <c r="AM264" s="30"/>
      <c r="AN264" s="30"/>
      <c r="AO264" s="30"/>
      <c r="AP264" s="30"/>
      <c r="AQ264" s="30"/>
      <c r="AR264" s="30"/>
      <c r="AS264" s="31"/>
      <c r="AT264" s="30"/>
      <c r="AU264" s="32" t="str">
        <f t="shared" si="4"/>
        <v>#DIV/0!</v>
      </c>
      <c r="AV264" s="33" t="str">
        <f t="shared" si="3"/>
        <v>#DIV/0!</v>
      </c>
      <c r="AW264" s="34"/>
      <c r="AX264" s="91"/>
      <c r="AY264" s="31"/>
      <c r="AZ264" s="34"/>
      <c r="BA264" s="30"/>
      <c r="BB264" s="30"/>
      <c r="BC264" s="35"/>
      <c r="BD264" s="91"/>
      <c r="BE264" s="31"/>
      <c r="BF264" s="31"/>
      <c r="BG264" s="30"/>
      <c r="BH264" s="30"/>
      <c r="BI264" s="31"/>
      <c r="BJ264" s="91"/>
      <c r="BK264" s="31"/>
      <c r="BL264" s="30"/>
      <c r="BM264" s="30"/>
    </row>
    <row r="265">
      <c r="A265" s="18" t="s">
        <v>25</v>
      </c>
      <c r="B265" s="48" t="s">
        <v>1856</v>
      </c>
      <c r="C265" s="19" t="s">
        <v>1857</v>
      </c>
      <c r="D265" s="19" t="s">
        <v>67</v>
      </c>
      <c r="E265" s="19" t="s">
        <v>68</v>
      </c>
      <c r="F265" s="20">
        <v>1.0</v>
      </c>
      <c r="G265" s="21">
        <v>1.0</v>
      </c>
      <c r="H265" s="21">
        <v>60.0</v>
      </c>
      <c r="I265" s="21">
        <v>60.0</v>
      </c>
      <c r="J265" s="45"/>
      <c r="K265" s="23">
        <v>54.71</v>
      </c>
      <c r="L265" s="24">
        <v>264.0</v>
      </c>
      <c r="M265" s="25" t="s">
        <v>69</v>
      </c>
      <c r="N265" s="25" t="s">
        <v>70</v>
      </c>
      <c r="O265" s="25">
        <v>2.1000000504E10</v>
      </c>
      <c r="P265" s="26" t="s">
        <v>1858</v>
      </c>
      <c r="Q265" s="27" t="s">
        <v>1859</v>
      </c>
      <c r="R265" s="28" t="s">
        <v>1042</v>
      </c>
      <c r="S265" s="29">
        <f t="shared" si="1"/>
        <v>1</v>
      </c>
      <c r="T265" s="30"/>
      <c r="U265" s="30"/>
      <c r="V265" s="30"/>
      <c r="W265" s="30"/>
      <c r="X265" s="30"/>
      <c r="Y265" s="30"/>
      <c r="Z265" s="29">
        <v>1.0</v>
      </c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1"/>
      <c r="AT265" s="38" t="s">
        <v>1774</v>
      </c>
      <c r="AU265" s="32">
        <f t="shared" si="4"/>
        <v>46.37333333</v>
      </c>
      <c r="AV265" s="33">
        <f t="shared" si="3"/>
        <v>60.28533333</v>
      </c>
      <c r="AW265" s="34"/>
      <c r="AX265" s="42">
        <v>39.59</v>
      </c>
      <c r="AY265" s="39" t="s">
        <v>1860</v>
      </c>
      <c r="AZ265" s="34"/>
      <c r="BA265" s="30"/>
      <c r="BB265" s="30"/>
      <c r="BC265" s="35"/>
      <c r="BD265" s="42">
        <v>52.92</v>
      </c>
      <c r="BE265" s="39" t="s">
        <v>1861</v>
      </c>
      <c r="BF265" s="31"/>
      <c r="BG265" s="30"/>
      <c r="BH265" s="30"/>
      <c r="BI265" s="31"/>
      <c r="BJ265" s="82">
        <v>46.61</v>
      </c>
      <c r="BK265" s="39" t="s">
        <v>1862</v>
      </c>
      <c r="BL265" s="30"/>
      <c r="BM265" s="30"/>
    </row>
    <row r="266">
      <c r="A266" s="18" t="s">
        <v>25</v>
      </c>
      <c r="B266" s="48" t="s">
        <v>1863</v>
      </c>
      <c r="C266" s="19" t="s">
        <v>1864</v>
      </c>
      <c r="D266" s="19" t="s">
        <v>67</v>
      </c>
      <c r="E266" s="19" t="s">
        <v>68</v>
      </c>
      <c r="F266" s="20">
        <v>2000.0</v>
      </c>
      <c r="G266" s="21">
        <v>4.0</v>
      </c>
      <c r="H266" s="21">
        <v>0.0</v>
      </c>
      <c r="I266" s="21">
        <v>0.0</v>
      </c>
      <c r="J266" s="45"/>
      <c r="K266" s="23">
        <v>0.07</v>
      </c>
      <c r="L266" s="24">
        <v>265.0</v>
      </c>
      <c r="M266" s="25" t="s">
        <v>69</v>
      </c>
      <c r="N266" s="25" t="s">
        <v>70</v>
      </c>
      <c r="O266" s="25">
        <v>2.1000000449E10</v>
      </c>
      <c r="P266" s="26" t="s">
        <v>1865</v>
      </c>
      <c r="Q266" s="27" t="s">
        <v>1866</v>
      </c>
      <c r="R266" s="28" t="s">
        <v>79</v>
      </c>
      <c r="S266" s="29">
        <f t="shared" si="1"/>
        <v>2000</v>
      </c>
      <c r="T266" s="30"/>
      <c r="U266" s="30"/>
      <c r="V266" s="30"/>
      <c r="W266" s="30"/>
      <c r="X266" s="30"/>
      <c r="Y266" s="30"/>
      <c r="Z266" s="28">
        <v>2000.0</v>
      </c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1"/>
      <c r="AT266" s="38" t="s">
        <v>1774</v>
      </c>
      <c r="AU266" s="32">
        <f t="shared" si="4"/>
        <v>0.06004</v>
      </c>
      <c r="AV266" s="33">
        <f t="shared" si="3"/>
        <v>0.078052</v>
      </c>
      <c r="AW266" s="34"/>
      <c r="AX266" s="42">
        <v>0.06032</v>
      </c>
      <c r="AY266" s="39" t="s">
        <v>1867</v>
      </c>
      <c r="AZ266" s="34"/>
      <c r="BA266" s="30"/>
      <c r="BB266" s="30"/>
      <c r="BC266" s="35"/>
      <c r="BD266" s="42">
        <f> 59.76/1000</f>
        <v>0.05976</v>
      </c>
      <c r="BE266" s="39" t="s">
        <v>1868</v>
      </c>
      <c r="BF266" s="31"/>
      <c r="BG266" s="30"/>
      <c r="BH266" s="30"/>
      <c r="BI266" s="31"/>
      <c r="BJ266" s="32"/>
      <c r="BK266" s="31"/>
      <c r="BL266" s="30"/>
      <c r="BM266" s="30"/>
    </row>
    <row r="267">
      <c r="A267" s="18" t="s">
        <v>25</v>
      </c>
      <c r="B267" s="48" t="s">
        <v>1869</v>
      </c>
      <c r="C267" s="19" t="s">
        <v>1870</v>
      </c>
      <c r="D267" s="19" t="s">
        <v>67</v>
      </c>
      <c r="E267" s="19" t="s">
        <v>68</v>
      </c>
      <c r="F267" s="20">
        <v>500.0</v>
      </c>
      <c r="G267" s="21">
        <v>1.0</v>
      </c>
      <c r="H267" s="21">
        <v>0.0</v>
      </c>
      <c r="I267" s="21">
        <v>0.0</v>
      </c>
      <c r="J267" s="45"/>
      <c r="K267" s="23">
        <v>0.49</v>
      </c>
      <c r="L267" s="24">
        <v>266.0</v>
      </c>
      <c r="M267" s="25" t="s">
        <v>69</v>
      </c>
      <c r="N267" s="25" t="s">
        <v>70</v>
      </c>
      <c r="O267" s="25">
        <v>2.1000000236E10</v>
      </c>
      <c r="P267" s="26" t="s">
        <v>1871</v>
      </c>
      <c r="Q267" s="27" t="s">
        <v>1872</v>
      </c>
      <c r="R267" s="28" t="s">
        <v>73</v>
      </c>
      <c r="S267" s="29">
        <f t="shared" si="1"/>
        <v>500</v>
      </c>
      <c r="T267" s="30"/>
      <c r="U267" s="30"/>
      <c r="V267" s="30"/>
      <c r="W267" s="30"/>
      <c r="X267" s="30"/>
      <c r="Y267" s="30"/>
      <c r="Z267" s="28">
        <v>500.0</v>
      </c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1"/>
      <c r="AT267" s="38" t="s">
        <v>1774</v>
      </c>
      <c r="AU267" s="32">
        <f t="shared" si="4"/>
        <v>0.48934</v>
      </c>
      <c r="AV267" s="33">
        <f t="shared" si="3"/>
        <v>0.636142</v>
      </c>
      <c r="AW267" s="34"/>
      <c r="AX267" s="42">
        <v>0.41112</v>
      </c>
      <c r="AY267" s="39" t="s">
        <v>1873</v>
      </c>
      <c r="AZ267" s="34"/>
      <c r="BA267" s="30"/>
      <c r="BB267" s="30"/>
      <c r="BC267" s="35"/>
      <c r="BD267" s="42">
        <v>0.56756</v>
      </c>
      <c r="BE267" s="39" t="s">
        <v>1874</v>
      </c>
      <c r="BF267" s="31"/>
      <c r="BG267" s="30"/>
      <c r="BH267" s="30"/>
      <c r="BI267" s="31"/>
      <c r="BJ267" s="42"/>
      <c r="BK267" s="50"/>
      <c r="BL267" s="30"/>
      <c r="BM267" s="30"/>
    </row>
    <row r="268">
      <c r="A268" s="18" t="s">
        <v>21</v>
      </c>
      <c r="B268" s="18" t="s">
        <v>1875</v>
      </c>
      <c r="C268" s="19" t="s">
        <v>1876</v>
      </c>
      <c r="D268" s="19" t="s">
        <v>67</v>
      </c>
      <c r="E268" s="19" t="s">
        <v>68</v>
      </c>
      <c r="F268" s="20">
        <v>500.0</v>
      </c>
      <c r="G268" s="21">
        <v>500.0</v>
      </c>
      <c r="H268" s="21">
        <v>0.12</v>
      </c>
      <c r="I268" s="92">
        <v>60.0</v>
      </c>
      <c r="J268" s="93"/>
      <c r="K268" s="94">
        <v>0.11</v>
      </c>
      <c r="L268" s="95">
        <v>267.0</v>
      </c>
      <c r="M268" s="96" t="s">
        <v>69</v>
      </c>
      <c r="N268" s="96" t="s">
        <v>70</v>
      </c>
      <c r="O268" s="96">
        <v>2.1000000448E10</v>
      </c>
      <c r="P268" s="97" t="s">
        <v>1877</v>
      </c>
      <c r="Q268" s="98" t="s">
        <v>1878</v>
      </c>
      <c r="R268" s="28" t="s">
        <v>79</v>
      </c>
      <c r="S268" s="99">
        <f t="shared" si="1"/>
        <v>5500</v>
      </c>
      <c r="T268" s="100"/>
      <c r="U268" s="100"/>
      <c r="V268" s="99">
        <v>500.0</v>
      </c>
      <c r="W268" s="100"/>
      <c r="X268" s="100"/>
      <c r="Y268" s="100"/>
      <c r="Z268" s="101">
        <v>5000.0</v>
      </c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2"/>
      <c r="AT268" s="101" t="s">
        <v>1774</v>
      </c>
      <c r="AU268" s="103">
        <f t="shared" si="4"/>
        <v>0.10744</v>
      </c>
      <c r="AV268" s="104">
        <f t="shared" si="3"/>
        <v>0.139672</v>
      </c>
      <c r="AW268" s="105"/>
      <c r="AX268" s="106">
        <v>0.10524</v>
      </c>
      <c r="AY268" s="107" t="s">
        <v>1879</v>
      </c>
      <c r="AZ268" s="105"/>
      <c r="BA268" s="100"/>
      <c r="BB268" s="100"/>
      <c r="BC268" s="108"/>
      <c r="BD268" s="106">
        <v>0.09744</v>
      </c>
      <c r="BE268" s="107" t="s">
        <v>1880</v>
      </c>
      <c r="BF268" s="102"/>
      <c r="BG268" s="100"/>
      <c r="BH268" s="100"/>
      <c r="BI268" s="109"/>
      <c r="BJ268" s="106">
        <v>0.11964</v>
      </c>
      <c r="BK268" s="107" t="s">
        <v>1881</v>
      </c>
      <c r="BL268" s="100"/>
      <c r="BM268" s="100"/>
    </row>
    <row r="269">
      <c r="A269" s="18" t="s">
        <v>25</v>
      </c>
      <c r="B269" s="48" t="s">
        <v>1882</v>
      </c>
      <c r="C269" s="53">
        <v>452977.0</v>
      </c>
      <c r="D269" s="19" t="s">
        <v>67</v>
      </c>
      <c r="E269" s="19" t="s">
        <v>68</v>
      </c>
      <c r="F269" s="20">
        <v>2000.0</v>
      </c>
      <c r="G269" s="21">
        <v>4.0</v>
      </c>
      <c r="H269" s="21">
        <v>9.0</v>
      </c>
      <c r="I269" s="21">
        <v>36.0</v>
      </c>
      <c r="J269" s="45"/>
      <c r="K269" s="23">
        <v>0.04</v>
      </c>
      <c r="L269" s="24">
        <v>268.0</v>
      </c>
      <c r="M269" s="25" t="s">
        <v>69</v>
      </c>
      <c r="N269" s="25" t="s">
        <v>70</v>
      </c>
      <c r="O269" s="25">
        <v>2.1000000234E10</v>
      </c>
      <c r="P269" s="26" t="s">
        <v>1883</v>
      </c>
      <c r="Q269" s="27" t="s">
        <v>1884</v>
      </c>
      <c r="R269" s="28" t="s">
        <v>79</v>
      </c>
      <c r="S269" s="29">
        <f t="shared" si="1"/>
        <v>3500</v>
      </c>
      <c r="T269" s="30"/>
      <c r="U269" s="30"/>
      <c r="V269" s="30"/>
      <c r="W269" s="30"/>
      <c r="X269" s="30"/>
      <c r="Y269" s="30"/>
      <c r="Z269" s="28">
        <v>3500.0</v>
      </c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1"/>
      <c r="AT269" s="38" t="s">
        <v>1774</v>
      </c>
      <c r="AU269" s="32">
        <f t="shared" si="4"/>
        <v>0.0444</v>
      </c>
      <c r="AV269" s="33">
        <f t="shared" si="3"/>
        <v>0.05772</v>
      </c>
      <c r="AW269" s="34"/>
      <c r="AX269" s="110">
        <v>0.0411</v>
      </c>
      <c r="AY269" s="39" t="s">
        <v>1885</v>
      </c>
      <c r="AZ269" s="34"/>
      <c r="BA269" s="38" t="s">
        <v>1886</v>
      </c>
      <c r="BB269" s="30"/>
      <c r="BC269" s="35"/>
      <c r="BD269" s="90">
        <v>0.0467</v>
      </c>
      <c r="BE269" s="39" t="s">
        <v>1887</v>
      </c>
      <c r="BF269" s="31"/>
      <c r="BG269" s="30"/>
      <c r="BH269" s="30"/>
      <c r="BI269" s="31"/>
      <c r="BJ269" s="83">
        <v>0.0454</v>
      </c>
      <c r="BK269" s="39" t="s">
        <v>1888</v>
      </c>
      <c r="BL269" s="30"/>
      <c r="BM269" s="30"/>
    </row>
    <row r="270">
      <c r="A270" s="18" t="s">
        <v>21</v>
      </c>
      <c r="B270" s="18" t="s">
        <v>1889</v>
      </c>
      <c r="C270" s="19" t="s">
        <v>1890</v>
      </c>
      <c r="D270" s="19" t="s">
        <v>67</v>
      </c>
      <c r="E270" s="19" t="s">
        <v>68</v>
      </c>
      <c r="F270" s="20">
        <v>500.0</v>
      </c>
      <c r="G270" s="21">
        <v>500.0</v>
      </c>
      <c r="H270" s="21">
        <v>0.06</v>
      </c>
      <c r="I270" s="21">
        <v>30.0</v>
      </c>
      <c r="J270" s="45"/>
      <c r="K270" s="23">
        <v>0.07</v>
      </c>
      <c r="L270" s="24">
        <v>269.0</v>
      </c>
      <c r="M270" s="25" t="s">
        <v>69</v>
      </c>
      <c r="N270" s="25" t="s">
        <v>70</v>
      </c>
      <c r="O270" s="25">
        <v>2.1000000233E10</v>
      </c>
      <c r="P270" s="26" t="s">
        <v>1891</v>
      </c>
      <c r="Q270" s="27" t="s">
        <v>1892</v>
      </c>
      <c r="R270" s="28" t="s">
        <v>79</v>
      </c>
      <c r="S270" s="29">
        <f t="shared" si="1"/>
        <v>4000</v>
      </c>
      <c r="T270" s="30"/>
      <c r="U270" s="30"/>
      <c r="V270" s="29">
        <v>500.0</v>
      </c>
      <c r="W270" s="30"/>
      <c r="X270" s="30"/>
      <c r="Y270" s="30"/>
      <c r="Z270" s="38">
        <v>3500.0</v>
      </c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1"/>
      <c r="AT270" s="38" t="s">
        <v>678</v>
      </c>
      <c r="AU270" s="32">
        <f t="shared" si="4"/>
        <v>0.06906</v>
      </c>
      <c r="AV270" s="33">
        <f t="shared" si="3"/>
        <v>0.089778</v>
      </c>
      <c r="AW270" s="34"/>
      <c r="AX270" s="32">
        <f>48/500</f>
        <v>0.096</v>
      </c>
      <c r="AY270" s="46" t="s">
        <v>1893</v>
      </c>
      <c r="AZ270" s="34"/>
      <c r="BA270" s="30"/>
      <c r="BB270" s="111">
        <v>45357.0</v>
      </c>
      <c r="BC270" s="35"/>
      <c r="BD270" s="32">
        <f>27.19/500</f>
        <v>0.05438</v>
      </c>
      <c r="BE270" s="46" t="s">
        <v>1894</v>
      </c>
      <c r="BF270" s="31"/>
      <c r="BG270" s="30"/>
      <c r="BH270" s="30"/>
      <c r="BI270" s="31"/>
      <c r="BJ270" s="32">
        <f>28.4/500</f>
        <v>0.0568</v>
      </c>
      <c r="BK270" s="46" t="s">
        <v>1895</v>
      </c>
      <c r="BL270" s="30"/>
      <c r="BM270" s="30"/>
    </row>
    <row r="271">
      <c r="A271" s="18" t="s">
        <v>35</v>
      </c>
      <c r="B271" s="48" t="s">
        <v>1896</v>
      </c>
      <c r="C271" s="19" t="s">
        <v>1897</v>
      </c>
      <c r="D271" s="19" t="s">
        <v>67</v>
      </c>
      <c r="E271" s="19" t="s">
        <v>68</v>
      </c>
      <c r="F271" s="20">
        <v>500.0</v>
      </c>
      <c r="G271" s="21">
        <v>500.0</v>
      </c>
      <c r="H271" s="21">
        <v>0.07</v>
      </c>
      <c r="I271" s="21">
        <v>35.0</v>
      </c>
      <c r="J271" s="45"/>
      <c r="K271" s="23">
        <v>0.1</v>
      </c>
      <c r="L271" s="24">
        <v>270.0</v>
      </c>
      <c r="M271" s="25" t="s">
        <v>69</v>
      </c>
      <c r="N271" s="25" t="s">
        <v>70</v>
      </c>
      <c r="O271" s="25">
        <v>2.1000000232E10</v>
      </c>
      <c r="P271" s="26" t="s">
        <v>1898</v>
      </c>
      <c r="Q271" s="27" t="s">
        <v>1899</v>
      </c>
      <c r="R271" s="28" t="s">
        <v>79</v>
      </c>
      <c r="S271" s="29">
        <f t="shared" si="1"/>
        <v>10500</v>
      </c>
      <c r="T271" s="30"/>
      <c r="U271" s="30"/>
      <c r="V271" s="30"/>
      <c r="W271" s="30"/>
      <c r="X271" s="30"/>
      <c r="Y271" s="30"/>
      <c r="Z271" s="38">
        <v>1000.0</v>
      </c>
      <c r="AA271" s="30"/>
      <c r="AB271" s="30"/>
      <c r="AC271" s="38">
        <v>500.0</v>
      </c>
      <c r="AD271" s="30"/>
      <c r="AE271" s="38">
        <v>3000.0</v>
      </c>
      <c r="AF271" s="30"/>
      <c r="AG271" s="30"/>
      <c r="AH271" s="30"/>
      <c r="AI271" s="30"/>
      <c r="AJ271" s="29">
        <v>500.0</v>
      </c>
      <c r="AK271" s="30"/>
      <c r="AL271" s="30"/>
      <c r="AM271" s="30"/>
      <c r="AN271" s="30"/>
      <c r="AO271" s="30"/>
      <c r="AP271" s="30"/>
      <c r="AQ271" s="38">
        <v>500.0</v>
      </c>
      <c r="AR271" s="38">
        <v>5000.0</v>
      </c>
      <c r="AS271" s="31"/>
      <c r="AT271" s="38" t="s">
        <v>678</v>
      </c>
      <c r="AU271" s="32">
        <f t="shared" si="4"/>
        <v>0.1061133333</v>
      </c>
      <c r="AV271" s="33">
        <f t="shared" si="3"/>
        <v>0.1379473333</v>
      </c>
      <c r="AW271" s="34"/>
      <c r="AX271" s="32">
        <f>46.3/500</f>
        <v>0.0926</v>
      </c>
      <c r="AY271" s="46" t="s">
        <v>1900</v>
      </c>
      <c r="AZ271" s="34"/>
      <c r="BA271" s="30"/>
      <c r="BB271" s="111">
        <v>45357.0</v>
      </c>
      <c r="BC271" s="35"/>
      <c r="BD271" s="32">
        <f>64/500</f>
        <v>0.128</v>
      </c>
      <c r="BE271" s="46" t="s">
        <v>1901</v>
      </c>
      <c r="BF271" s="31"/>
      <c r="BG271" s="30"/>
      <c r="BH271" s="30"/>
      <c r="BI271" s="31"/>
      <c r="BJ271" s="32">
        <f>48.87/500</f>
        <v>0.09774</v>
      </c>
      <c r="BK271" s="46" t="s">
        <v>1902</v>
      </c>
      <c r="BL271" s="30"/>
      <c r="BM271" s="30"/>
    </row>
    <row r="272">
      <c r="A272" s="18" t="s">
        <v>21</v>
      </c>
      <c r="B272" s="18" t="s">
        <v>1903</v>
      </c>
      <c r="C272" s="19" t="s">
        <v>1904</v>
      </c>
      <c r="D272" s="19" t="s">
        <v>67</v>
      </c>
      <c r="E272" s="19" t="s">
        <v>68</v>
      </c>
      <c r="F272" s="20">
        <v>25.0</v>
      </c>
      <c r="G272" s="21">
        <v>25.0</v>
      </c>
      <c r="H272" s="21">
        <v>2.87</v>
      </c>
      <c r="I272" s="21">
        <v>71.75</v>
      </c>
      <c r="J272" s="45"/>
      <c r="K272" s="23">
        <v>2.96</v>
      </c>
      <c r="L272" s="24">
        <v>271.0</v>
      </c>
      <c r="M272" s="25" t="s">
        <v>69</v>
      </c>
      <c r="N272" s="25" t="s">
        <v>70</v>
      </c>
      <c r="O272" s="25">
        <v>2.1000000664E10</v>
      </c>
      <c r="P272" s="26" t="s">
        <v>1905</v>
      </c>
      <c r="Q272" s="27" t="s">
        <v>1903</v>
      </c>
      <c r="R272" s="28" t="s">
        <v>79</v>
      </c>
      <c r="S272" s="29">
        <f t="shared" si="1"/>
        <v>25</v>
      </c>
      <c r="T272" s="30"/>
      <c r="U272" s="30"/>
      <c r="V272" s="29">
        <v>25.0</v>
      </c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1"/>
      <c r="AT272" s="38" t="s">
        <v>678</v>
      </c>
      <c r="AU272" s="32">
        <f t="shared" si="4"/>
        <v>2.688533333</v>
      </c>
      <c r="AV272" s="33">
        <f t="shared" si="3"/>
        <v>3.495093333</v>
      </c>
      <c r="AW272" s="34"/>
      <c r="AX272" s="32">
        <f>68.04/25</f>
        <v>2.7216</v>
      </c>
      <c r="AY272" s="46" t="s">
        <v>1906</v>
      </c>
      <c r="AZ272" s="34"/>
      <c r="BA272" s="30"/>
      <c r="BB272" s="111">
        <v>45357.0</v>
      </c>
      <c r="BC272" s="35"/>
      <c r="BD272" s="32">
        <f>68.95/25</f>
        <v>2.758</v>
      </c>
      <c r="BE272" s="46" t="s">
        <v>1907</v>
      </c>
      <c r="BF272" s="31"/>
      <c r="BG272" s="30"/>
      <c r="BH272" s="30"/>
      <c r="BI272" s="31"/>
      <c r="BJ272" s="32">
        <f>64.65/25</f>
        <v>2.586</v>
      </c>
      <c r="BK272" s="46" t="s">
        <v>1908</v>
      </c>
      <c r="BL272" s="30"/>
      <c r="BM272" s="30"/>
    </row>
    <row r="273">
      <c r="A273" s="18" t="s">
        <v>25</v>
      </c>
      <c r="B273" s="18" t="s">
        <v>1909</v>
      </c>
      <c r="C273" s="19" t="s">
        <v>1910</v>
      </c>
      <c r="D273" s="19" t="s">
        <v>67</v>
      </c>
      <c r="E273" s="19" t="s">
        <v>68</v>
      </c>
      <c r="F273" s="20">
        <v>500.0</v>
      </c>
      <c r="G273" s="21">
        <v>1.0</v>
      </c>
      <c r="H273" s="21">
        <v>31.0</v>
      </c>
      <c r="I273" s="21">
        <v>31.0</v>
      </c>
      <c r="J273" s="45"/>
      <c r="K273" s="23">
        <v>0.05</v>
      </c>
      <c r="L273" s="24">
        <v>272.0</v>
      </c>
      <c r="M273" s="25" t="s">
        <v>69</v>
      </c>
      <c r="N273" s="25" t="s">
        <v>70</v>
      </c>
      <c r="O273" s="25">
        <v>2.1000000583E10</v>
      </c>
      <c r="P273" s="26" t="s">
        <v>1911</v>
      </c>
      <c r="Q273" s="27" t="s">
        <v>1912</v>
      </c>
      <c r="R273" s="28" t="s">
        <v>79</v>
      </c>
      <c r="S273" s="29">
        <f t="shared" si="1"/>
        <v>500</v>
      </c>
      <c r="T273" s="30"/>
      <c r="U273" s="30"/>
      <c r="V273" s="30"/>
      <c r="W273" s="30"/>
      <c r="X273" s="30"/>
      <c r="Y273" s="30"/>
      <c r="Z273" s="28">
        <v>500.0</v>
      </c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1"/>
      <c r="AT273" s="38" t="s">
        <v>678</v>
      </c>
      <c r="AU273" s="32">
        <f t="shared" si="4"/>
        <v>0.05170666667</v>
      </c>
      <c r="AV273" s="33">
        <f t="shared" si="3"/>
        <v>0.06721866667</v>
      </c>
      <c r="AW273" s="34"/>
      <c r="AX273" s="32">
        <f>26.22/500</f>
        <v>0.05244</v>
      </c>
      <c r="AY273" s="46" t="s">
        <v>1913</v>
      </c>
      <c r="AZ273" s="34"/>
      <c r="BA273" s="30"/>
      <c r="BB273" s="111">
        <v>45357.0</v>
      </c>
      <c r="BC273" s="35"/>
      <c r="BD273" s="32">
        <f>25.67/500</f>
        <v>0.05134</v>
      </c>
      <c r="BE273" s="46" t="s">
        <v>1914</v>
      </c>
      <c r="BF273" s="31"/>
      <c r="BG273" s="30"/>
      <c r="BH273" s="30"/>
      <c r="BI273" s="31"/>
      <c r="BJ273" s="32">
        <f>25.67/500</f>
        <v>0.05134</v>
      </c>
      <c r="BK273" s="46" t="s">
        <v>1915</v>
      </c>
      <c r="BL273" s="30"/>
      <c r="BM273" s="30"/>
    </row>
    <row r="274">
      <c r="A274" s="18" t="s">
        <v>25</v>
      </c>
      <c r="B274" s="18" t="s">
        <v>1916</v>
      </c>
      <c r="C274" s="19" t="s">
        <v>1917</v>
      </c>
      <c r="D274" s="19" t="s">
        <v>67</v>
      </c>
      <c r="E274" s="19" t="s">
        <v>68</v>
      </c>
      <c r="F274" s="20">
        <v>1000.0</v>
      </c>
      <c r="G274" s="21">
        <v>2.0</v>
      </c>
      <c r="H274" s="21">
        <v>0.0</v>
      </c>
      <c r="I274" s="21">
        <v>0.0</v>
      </c>
      <c r="J274" s="45"/>
      <c r="K274" s="23">
        <v>0.07</v>
      </c>
      <c r="L274" s="24">
        <v>273.0</v>
      </c>
      <c r="M274" s="25" t="s">
        <v>69</v>
      </c>
      <c r="N274" s="25" t="s">
        <v>70</v>
      </c>
      <c r="O274" s="25">
        <v>2.1000000227E10</v>
      </c>
      <c r="P274" s="26" t="s">
        <v>1918</v>
      </c>
      <c r="Q274" s="27" t="s">
        <v>1919</v>
      </c>
      <c r="R274" s="28" t="s">
        <v>79</v>
      </c>
      <c r="S274" s="29">
        <f t="shared" si="1"/>
        <v>1500</v>
      </c>
      <c r="T274" s="30"/>
      <c r="U274" s="30"/>
      <c r="V274" s="30"/>
      <c r="W274" s="30"/>
      <c r="X274" s="30"/>
      <c r="Y274" s="30"/>
      <c r="Z274" s="28">
        <f>1000+500</f>
        <v>1500</v>
      </c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1"/>
      <c r="AT274" s="38" t="s">
        <v>81</v>
      </c>
      <c r="AU274" s="32">
        <f t="shared" si="4"/>
        <v>0.06874666667</v>
      </c>
      <c r="AV274" s="33">
        <f t="shared" si="3"/>
        <v>0.08937066667</v>
      </c>
      <c r="AW274" s="34"/>
      <c r="AX274" s="42">
        <f>29.13/500</f>
        <v>0.05826</v>
      </c>
      <c r="AY274" s="39" t="s">
        <v>1920</v>
      </c>
      <c r="AZ274" s="34"/>
      <c r="BA274" s="30"/>
      <c r="BB274" s="30"/>
      <c r="BC274" s="35"/>
      <c r="BD274" s="42">
        <f>33.66/500</f>
        <v>0.06732</v>
      </c>
      <c r="BE274" s="46" t="s">
        <v>1921</v>
      </c>
      <c r="BF274" s="31"/>
      <c r="BG274" s="30"/>
      <c r="BH274" s="30"/>
      <c r="BI274" s="31"/>
      <c r="BJ274" s="32">
        <f>40.33 /500</f>
        <v>0.08066</v>
      </c>
      <c r="BK274" s="39" t="s">
        <v>1922</v>
      </c>
      <c r="BL274" s="30"/>
      <c r="BM274" s="30"/>
    </row>
    <row r="275">
      <c r="A275" s="18" t="s">
        <v>25</v>
      </c>
      <c r="B275" s="48" t="s">
        <v>1923</v>
      </c>
      <c r="C275" s="19" t="s">
        <v>1924</v>
      </c>
      <c r="D275" s="19" t="s">
        <v>67</v>
      </c>
      <c r="E275" s="19" t="s">
        <v>68</v>
      </c>
      <c r="F275" s="20">
        <v>500.0</v>
      </c>
      <c r="G275" s="21">
        <v>500.0</v>
      </c>
      <c r="H275" s="21">
        <v>0.06</v>
      </c>
      <c r="I275" s="21">
        <v>30.0</v>
      </c>
      <c r="J275" s="45"/>
      <c r="K275" s="23">
        <v>0.05</v>
      </c>
      <c r="L275" s="24">
        <v>274.0</v>
      </c>
      <c r="M275" s="25" t="s">
        <v>69</v>
      </c>
      <c r="N275" s="25" t="s">
        <v>70</v>
      </c>
      <c r="O275" s="25">
        <v>2.1000000226E10</v>
      </c>
      <c r="P275" s="26" t="s">
        <v>1925</v>
      </c>
      <c r="Q275" s="27" t="s">
        <v>1926</v>
      </c>
      <c r="R275" s="28" t="s">
        <v>79</v>
      </c>
      <c r="S275" s="29">
        <f t="shared" si="1"/>
        <v>4000</v>
      </c>
      <c r="T275" s="30"/>
      <c r="U275" s="38">
        <v>1000.0</v>
      </c>
      <c r="V275" s="30"/>
      <c r="W275" s="30"/>
      <c r="X275" s="30"/>
      <c r="Y275" s="30"/>
      <c r="Z275" s="28">
        <v>1500.0</v>
      </c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8">
        <v>500.0</v>
      </c>
      <c r="AQ275" s="38">
        <v>1000.0</v>
      </c>
      <c r="AR275" s="30"/>
      <c r="AS275" s="31"/>
      <c r="AT275" s="38" t="s">
        <v>678</v>
      </c>
      <c r="AU275" s="32">
        <f t="shared" si="4"/>
        <v>0.04785333333</v>
      </c>
      <c r="AV275" s="33">
        <f t="shared" si="3"/>
        <v>0.06220933333</v>
      </c>
      <c r="AW275" s="34"/>
      <c r="AX275" s="32">
        <f>21.89/500</f>
        <v>0.04378</v>
      </c>
      <c r="AY275" s="46" t="s">
        <v>1927</v>
      </c>
      <c r="AZ275" s="34"/>
      <c r="BA275" s="30"/>
      <c r="BB275" s="111">
        <v>45357.0</v>
      </c>
      <c r="BC275" s="35"/>
      <c r="BD275" s="42">
        <f>28/500</f>
        <v>0.056</v>
      </c>
      <c r="BE275" s="46" t="s">
        <v>1928</v>
      </c>
      <c r="BF275" s="31"/>
      <c r="BG275" s="30"/>
      <c r="BH275" s="30"/>
      <c r="BI275" s="31"/>
      <c r="BJ275" s="32">
        <f>21.89/500</f>
        <v>0.04378</v>
      </c>
      <c r="BK275" s="46" t="s">
        <v>1929</v>
      </c>
      <c r="BL275" s="30"/>
      <c r="BM275" s="30"/>
    </row>
    <row r="276">
      <c r="A276" s="18" t="s">
        <v>25</v>
      </c>
      <c r="B276" s="48" t="s">
        <v>1930</v>
      </c>
      <c r="C276" s="19" t="s">
        <v>1931</v>
      </c>
      <c r="D276" s="19" t="s">
        <v>67</v>
      </c>
      <c r="E276" s="19" t="s">
        <v>68</v>
      </c>
      <c r="F276" s="20">
        <v>13000.0</v>
      </c>
      <c r="G276" s="21">
        <v>13.0</v>
      </c>
      <c r="H276" s="21">
        <v>29.0</v>
      </c>
      <c r="I276" s="21">
        <v>377.0</v>
      </c>
      <c r="J276" s="45"/>
      <c r="K276" s="23">
        <v>0.26</v>
      </c>
      <c r="L276" s="51">
        <v>275.0</v>
      </c>
      <c r="M276" s="25" t="s">
        <v>69</v>
      </c>
      <c r="N276" s="25" t="s">
        <v>70</v>
      </c>
      <c r="O276" s="25">
        <v>2.1000000442E10</v>
      </c>
      <c r="P276" s="26" t="s">
        <v>1932</v>
      </c>
      <c r="Q276" s="27" t="s">
        <v>1933</v>
      </c>
      <c r="R276" s="28" t="s">
        <v>79</v>
      </c>
      <c r="S276" s="29">
        <f t="shared" si="1"/>
        <v>13000</v>
      </c>
      <c r="T276" s="30"/>
      <c r="U276" s="30"/>
      <c r="V276" s="30"/>
      <c r="W276" s="30"/>
      <c r="X276" s="30"/>
      <c r="Y276" s="30"/>
      <c r="Z276" s="28">
        <v>13000.0</v>
      </c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1"/>
      <c r="AT276" s="38" t="s">
        <v>678</v>
      </c>
      <c r="AU276" s="32">
        <f t="shared" si="4"/>
        <v>0.26134</v>
      </c>
      <c r="AV276" s="33">
        <f t="shared" si="3"/>
        <v>0.339742</v>
      </c>
      <c r="AW276" s="34"/>
      <c r="AX276" s="32">
        <f>211.22/1000</f>
        <v>0.21122</v>
      </c>
      <c r="AY276" s="46" t="s">
        <v>1934</v>
      </c>
      <c r="AZ276" s="34"/>
      <c r="BA276" s="30"/>
      <c r="BB276" s="111">
        <v>45357.0</v>
      </c>
      <c r="BC276" s="35"/>
      <c r="BD276" s="32">
        <f>286.4/1000</f>
        <v>0.2864</v>
      </c>
      <c r="BE276" s="46" t="s">
        <v>1935</v>
      </c>
      <c r="BF276" s="31"/>
      <c r="BG276" s="30"/>
      <c r="BH276" s="30"/>
      <c r="BI276" s="31"/>
      <c r="BJ276" s="32">
        <f>286.4/1000</f>
        <v>0.2864</v>
      </c>
      <c r="BK276" s="46" t="s">
        <v>1936</v>
      </c>
      <c r="BL276" s="30"/>
      <c r="BM276" s="30"/>
    </row>
    <row r="277">
      <c r="A277" s="18" t="s">
        <v>41</v>
      </c>
      <c r="B277" s="18" t="s">
        <v>1937</v>
      </c>
      <c r="C277" s="19" t="s">
        <v>1938</v>
      </c>
      <c r="D277" s="19" t="s">
        <v>67</v>
      </c>
      <c r="E277" s="19" t="s">
        <v>68</v>
      </c>
      <c r="F277" s="20">
        <v>500.0</v>
      </c>
      <c r="G277" s="21">
        <v>500.0</v>
      </c>
      <c r="H277" s="21">
        <v>0.07</v>
      </c>
      <c r="I277" s="21">
        <v>35.0</v>
      </c>
      <c r="J277" s="36" t="s">
        <v>1939</v>
      </c>
      <c r="K277" s="23">
        <v>0.1</v>
      </c>
      <c r="L277" s="61">
        <v>276.0</v>
      </c>
      <c r="M277" s="25" t="s">
        <v>69</v>
      </c>
      <c r="N277" s="25" t="s">
        <v>70</v>
      </c>
      <c r="O277" s="25">
        <v>2.1000000225E10</v>
      </c>
      <c r="P277" s="63" t="s">
        <v>1940</v>
      </c>
      <c r="Q277" s="27" t="s">
        <v>1941</v>
      </c>
      <c r="R277" s="28" t="s">
        <v>79</v>
      </c>
      <c r="S277" s="29">
        <f t="shared" si="1"/>
        <v>4000</v>
      </c>
      <c r="T277" s="30"/>
      <c r="U277" s="38">
        <v>500.0</v>
      </c>
      <c r="V277" s="30"/>
      <c r="W277" s="30"/>
      <c r="X277" s="30"/>
      <c r="Y277" s="30"/>
      <c r="Z277" s="38">
        <v>3000.0</v>
      </c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29">
        <v>500.0</v>
      </c>
      <c r="AQ277" s="30"/>
      <c r="AR277" s="30"/>
      <c r="AS277" s="31"/>
      <c r="AT277" s="38" t="s">
        <v>678</v>
      </c>
      <c r="AU277" s="32">
        <f t="shared" si="4"/>
        <v>0.07532666667</v>
      </c>
      <c r="AV277" s="33">
        <f t="shared" si="3"/>
        <v>0.09792466667</v>
      </c>
      <c r="AW277" s="34"/>
      <c r="AX277" s="32">
        <f>33/500</f>
        <v>0.066</v>
      </c>
      <c r="AY277" s="46" t="s">
        <v>1942</v>
      </c>
      <c r="AZ277" s="34"/>
      <c r="BA277" s="30"/>
      <c r="BB277" s="111">
        <v>45357.0</v>
      </c>
      <c r="BC277" s="35"/>
      <c r="BD277" s="32">
        <f>37.62/500</f>
        <v>0.07524</v>
      </c>
      <c r="BE277" s="46" t="s">
        <v>1943</v>
      </c>
      <c r="BF277" s="31"/>
      <c r="BG277" s="30"/>
      <c r="BH277" s="30"/>
      <c r="BI277" s="31"/>
      <c r="BJ277" s="32">
        <f>42.37/500</f>
        <v>0.08474</v>
      </c>
      <c r="BK277" s="46" t="s">
        <v>1944</v>
      </c>
      <c r="BL277" s="30"/>
      <c r="BM277" s="30"/>
    </row>
    <row r="278">
      <c r="A278" s="18" t="s">
        <v>25</v>
      </c>
      <c r="B278" s="48" t="s">
        <v>1945</v>
      </c>
      <c r="C278" s="19" t="s">
        <v>1946</v>
      </c>
      <c r="D278" s="19" t="s">
        <v>67</v>
      </c>
      <c r="E278" s="19" t="s">
        <v>68</v>
      </c>
      <c r="F278" s="20">
        <v>1000.0</v>
      </c>
      <c r="G278" s="21">
        <v>10.0</v>
      </c>
      <c r="H278" s="21">
        <v>47.0</v>
      </c>
      <c r="I278" s="21">
        <v>470.0</v>
      </c>
      <c r="J278" s="45"/>
      <c r="K278" s="23">
        <v>4.65</v>
      </c>
      <c r="L278" s="24">
        <v>277.0</v>
      </c>
      <c r="M278" s="25" t="s">
        <v>69</v>
      </c>
      <c r="N278" s="25" t="s">
        <v>70</v>
      </c>
      <c r="O278" s="25">
        <v>2.1000000341E10</v>
      </c>
      <c r="P278" s="26" t="s">
        <v>1947</v>
      </c>
      <c r="Q278" s="27" t="s">
        <v>1948</v>
      </c>
      <c r="R278" s="28" t="s">
        <v>79</v>
      </c>
      <c r="S278" s="29">
        <f t="shared" si="1"/>
        <v>1100</v>
      </c>
      <c r="T278" s="30"/>
      <c r="U278" s="30"/>
      <c r="V278" s="30"/>
      <c r="W278" s="30"/>
      <c r="X278" s="30"/>
      <c r="Y278" s="30"/>
      <c r="Z278" s="28">
        <v>1100.0</v>
      </c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1"/>
      <c r="AT278" s="38" t="s">
        <v>678</v>
      </c>
      <c r="AU278" s="32">
        <f t="shared" si="4"/>
        <v>4.590866667</v>
      </c>
      <c r="AV278" s="33">
        <f t="shared" si="3"/>
        <v>5.968126667</v>
      </c>
      <c r="AW278" s="34"/>
      <c r="AX278" s="32">
        <f>424.32/100</f>
        <v>4.2432</v>
      </c>
      <c r="AY278" s="46" t="s">
        <v>1949</v>
      </c>
      <c r="AZ278" s="34"/>
      <c r="BA278" s="30"/>
      <c r="BB278" s="111">
        <v>45357.0</v>
      </c>
      <c r="BC278" s="35"/>
      <c r="BD278" s="32">
        <f>528.62/100</f>
        <v>5.2862</v>
      </c>
      <c r="BE278" s="46" t="s">
        <v>1950</v>
      </c>
      <c r="BF278" s="31"/>
      <c r="BG278" s="30"/>
      <c r="BH278" s="30"/>
      <c r="BI278" s="31"/>
      <c r="BJ278" s="32">
        <f>424.32/100</f>
        <v>4.2432</v>
      </c>
      <c r="BK278" s="46" t="s">
        <v>1951</v>
      </c>
      <c r="BL278" s="30"/>
      <c r="BM278" s="30"/>
    </row>
    <row r="279">
      <c r="A279" s="18" t="s">
        <v>25</v>
      </c>
      <c r="B279" s="48" t="s">
        <v>1952</v>
      </c>
      <c r="C279" s="19" t="s">
        <v>1953</v>
      </c>
      <c r="D279" s="19" t="s">
        <v>67</v>
      </c>
      <c r="E279" s="19" t="s">
        <v>68</v>
      </c>
      <c r="F279" s="20">
        <v>1.0</v>
      </c>
      <c r="G279" s="21">
        <v>1.0</v>
      </c>
      <c r="H279" s="21">
        <v>51.0</v>
      </c>
      <c r="I279" s="21">
        <v>51.0</v>
      </c>
      <c r="J279" s="45"/>
      <c r="K279" s="23">
        <v>131.96</v>
      </c>
      <c r="L279" s="24">
        <v>278.0</v>
      </c>
      <c r="M279" s="25" t="s">
        <v>69</v>
      </c>
      <c r="N279" s="25" t="s">
        <v>70</v>
      </c>
      <c r="O279" s="25">
        <v>2.1000000223E10</v>
      </c>
      <c r="P279" s="26" t="s">
        <v>1954</v>
      </c>
      <c r="Q279" s="27" t="s">
        <v>1955</v>
      </c>
      <c r="R279" s="28" t="s">
        <v>1413</v>
      </c>
      <c r="S279" s="29">
        <f t="shared" si="1"/>
        <v>1</v>
      </c>
      <c r="T279" s="30"/>
      <c r="U279" s="30"/>
      <c r="V279" s="30"/>
      <c r="W279" s="30"/>
      <c r="X279" s="30"/>
      <c r="Y279" s="30"/>
      <c r="Z279" s="29">
        <v>1.0</v>
      </c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1"/>
      <c r="AT279" s="38" t="s">
        <v>678</v>
      </c>
      <c r="AU279" s="32">
        <f t="shared" si="4"/>
        <v>118.4866667</v>
      </c>
      <c r="AV279" s="33">
        <f t="shared" si="3"/>
        <v>154.0326667</v>
      </c>
      <c r="AW279" s="34"/>
      <c r="AX279" s="32">
        <f>159.9</f>
        <v>159.9</v>
      </c>
      <c r="AY279" s="46" t="s">
        <v>1956</v>
      </c>
      <c r="AZ279" s="34"/>
      <c r="BA279" s="30"/>
      <c r="BB279" s="111">
        <v>45357.0</v>
      </c>
      <c r="BC279" s="35"/>
      <c r="BD279" s="42">
        <v>74.54</v>
      </c>
      <c r="BE279" s="46" t="s">
        <v>1957</v>
      </c>
      <c r="BF279" s="31"/>
      <c r="BG279" s="30"/>
      <c r="BH279" s="30"/>
      <c r="BI279" s="31"/>
      <c r="BJ279" s="42">
        <v>121.02</v>
      </c>
      <c r="BK279" s="46" t="s">
        <v>1958</v>
      </c>
      <c r="BL279" s="30"/>
      <c r="BM279" s="30"/>
    </row>
    <row r="280">
      <c r="A280" s="18" t="s">
        <v>21</v>
      </c>
      <c r="B280" s="48" t="s">
        <v>1959</v>
      </c>
      <c r="C280" s="19" t="s">
        <v>1960</v>
      </c>
      <c r="D280" s="19" t="s">
        <v>67</v>
      </c>
      <c r="E280" s="19" t="s">
        <v>68</v>
      </c>
      <c r="F280" s="20">
        <v>25.0</v>
      </c>
      <c r="G280" s="21">
        <v>25.0</v>
      </c>
      <c r="H280" s="21">
        <v>14.09</v>
      </c>
      <c r="I280" s="21">
        <v>352.25</v>
      </c>
      <c r="J280" s="45"/>
      <c r="K280" s="23">
        <v>17.44</v>
      </c>
      <c r="L280" s="24">
        <v>279.0</v>
      </c>
      <c r="M280" s="112" t="s">
        <v>69</v>
      </c>
      <c r="N280" s="112" t="s">
        <v>70</v>
      </c>
      <c r="O280" s="113">
        <v>2.1000000222E10</v>
      </c>
      <c r="P280" s="26" t="s">
        <v>1961</v>
      </c>
      <c r="Q280" s="27" t="s">
        <v>1962</v>
      </c>
      <c r="R280" s="28" t="s">
        <v>79</v>
      </c>
      <c r="S280" s="114">
        <f t="shared" si="1"/>
        <v>1375</v>
      </c>
      <c r="T280" s="30"/>
      <c r="U280" s="30"/>
      <c r="V280" s="28">
        <v>25.0</v>
      </c>
      <c r="W280" s="30"/>
      <c r="X280" s="30"/>
      <c r="Y280" s="30"/>
      <c r="Z280" s="38">
        <v>1350.0</v>
      </c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1"/>
      <c r="AT280" s="38" t="s">
        <v>678</v>
      </c>
      <c r="AU280" s="32">
        <f t="shared" si="4"/>
        <v>16.7728</v>
      </c>
      <c r="AV280" s="33">
        <f t="shared" si="3"/>
        <v>21.80464</v>
      </c>
      <c r="AW280" s="34"/>
      <c r="AX280" s="32">
        <f>476.74/25</f>
        <v>19.0696</v>
      </c>
      <c r="AY280" s="46" t="s">
        <v>1963</v>
      </c>
      <c r="AZ280" s="34"/>
      <c r="BA280" s="30"/>
      <c r="BB280" s="111">
        <v>45357.0</v>
      </c>
      <c r="BC280" s="35"/>
      <c r="BD280" s="32">
        <f>419.14/25</f>
        <v>16.7656</v>
      </c>
      <c r="BE280" s="46" t="s">
        <v>1964</v>
      </c>
      <c r="BF280" s="31"/>
      <c r="BG280" s="30"/>
      <c r="BH280" s="30"/>
      <c r="BI280" s="31"/>
      <c r="BJ280" s="32">
        <f>362.08/25</f>
        <v>14.4832</v>
      </c>
      <c r="BK280" s="46" t="s">
        <v>1965</v>
      </c>
      <c r="BL280" s="30"/>
      <c r="BM280" s="30"/>
    </row>
    <row r="281">
      <c r="A281" s="18" t="s">
        <v>43</v>
      </c>
      <c r="B281" s="48" t="s">
        <v>1966</v>
      </c>
      <c r="C281" s="53">
        <v>352843.0</v>
      </c>
      <c r="D281" s="19" t="s">
        <v>67</v>
      </c>
      <c r="E281" s="19" t="s">
        <v>68</v>
      </c>
      <c r="F281" s="20">
        <v>5.0</v>
      </c>
      <c r="G281" s="21">
        <v>5.0</v>
      </c>
      <c r="H281" s="21">
        <v>35.0</v>
      </c>
      <c r="I281" s="21">
        <v>175.0</v>
      </c>
      <c r="J281" s="45"/>
      <c r="K281" s="23">
        <v>0.04</v>
      </c>
      <c r="L281" s="24">
        <v>280.0</v>
      </c>
      <c r="M281" s="25" t="s">
        <v>69</v>
      </c>
      <c r="N281" s="25" t="s">
        <v>70</v>
      </c>
      <c r="O281" s="25">
        <v>2.1000000342E10</v>
      </c>
      <c r="P281" s="26" t="s">
        <v>1967</v>
      </c>
      <c r="Q281" s="27" t="s">
        <v>1968</v>
      </c>
      <c r="R281" s="28" t="s">
        <v>79</v>
      </c>
      <c r="S281" s="29">
        <f t="shared" si="1"/>
        <v>13000</v>
      </c>
      <c r="T281" s="30"/>
      <c r="U281" s="30"/>
      <c r="V281" s="30"/>
      <c r="W281" s="30"/>
      <c r="X281" s="30"/>
      <c r="Y281" s="30"/>
      <c r="Z281" s="38">
        <v>3000.0</v>
      </c>
      <c r="AA281" s="81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28">
        <v>10000.0</v>
      </c>
      <c r="AS281" s="31"/>
      <c r="AT281" s="38" t="s">
        <v>678</v>
      </c>
      <c r="AU281" s="32">
        <f t="shared" si="4"/>
        <v>0.03281333333</v>
      </c>
      <c r="AV281" s="33">
        <f t="shared" si="3"/>
        <v>0.04265733333</v>
      </c>
      <c r="AW281" s="34"/>
      <c r="AX281" s="32">
        <f>42/1000</f>
        <v>0.042</v>
      </c>
      <c r="AY281" s="46" t="s">
        <v>1969</v>
      </c>
      <c r="AZ281" s="34"/>
      <c r="BA281" s="30"/>
      <c r="BB281" s="111">
        <v>45357.0</v>
      </c>
      <c r="BC281" s="35"/>
      <c r="BD281" s="32">
        <f>24.44/1000</f>
        <v>0.02444</v>
      </c>
      <c r="BE281" s="46" t="s">
        <v>1970</v>
      </c>
      <c r="BF281" s="31"/>
      <c r="BG281" s="30"/>
      <c r="BH281" s="30"/>
      <c r="BI281" s="31"/>
      <c r="BJ281" s="32">
        <f>32/1000</f>
        <v>0.032</v>
      </c>
      <c r="BK281" s="46" t="s">
        <v>1971</v>
      </c>
      <c r="BL281" s="30"/>
      <c r="BM281" s="30"/>
    </row>
    <row r="282">
      <c r="A282" s="18" t="s">
        <v>41</v>
      </c>
      <c r="B282" s="48" t="s">
        <v>1972</v>
      </c>
      <c r="C282" s="19" t="s">
        <v>1973</v>
      </c>
      <c r="D282" s="19" t="s">
        <v>67</v>
      </c>
      <c r="E282" s="19" t="s">
        <v>68</v>
      </c>
      <c r="F282" s="20">
        <v>500.0</v>
      </c>
      <c r="G282" s="21">
        <v>500.0</v>
      </c>
      <c r="H282" s="21">
        <v>0.14</v>
      </c>
      <c r="I282" s="21">
        <v>70.0</v>
      </c>
      <c r="J282" s="45"/>
      <c r="K282" s="23">
        <v>0.06</v>
      </c>
      <c r="L282" s="24">
        <v>281.0</v>
      </c>
      <c r="M282" s="25" t="s">
        <v>69</v>
      </c>
      <c r="N282" s="25" t="s">
        <v>70</v>
      </c>
      <c r="O282" s="25">
        <v>2.1000000208E10</v>
      </c>
      <c r="P282" s="26" t="s">
        <v>1974</v>
      </c>
      <c r="Q282" s="27" t="s">
        <v>1975</v>
      </c>
      <c r="R282" s="28" t="s">
        <v>79</v>
      </c>
      <c r="S282" s="29">
        <f t="shared" si="1"/>
        <v>2000</v>
      </c>
      <c r="T282" s="30"/>
      <c r="U282" s="38">
        <v>500.0</v>
      </c>
      <c r="V282" s="30"/>
      <c r="W282" s="30"/>
      <c r="X282" s="30"/>
      <c r="Y282" s="30"/>
      <c r="Z282" s="38">
        <v>500.0</v>
      </c>
      <c r="AA282" s="30"/>
      <c r="AB282" s="30"/>
      <c r="AC282" s="38">
        <v>500.0</v>
      </c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29">
        <v>500.0</v>
      </c>
      <c r="AQ282" s="30"/>
      <c r="AR282" s="30"/>
      <c r="AS282" s="31"/>
      <c r="AT282" s="38" t="s">
        <v>678</v>
      </c>
      <c r="AU282" s="32">
        <f t="shared" si="4"/>
        <v>0.07884</v>
      </c>
      <c r="AV282" s="33">
        <f t="shared" si="3"/>
        <v>0.102492</v>
      </c>
      <c r="AW282" s="34"/>
      <c r="AX282" s="32">
        <f>23.55/500</f>
        <v>0.0471</v>
      </c>
      <c r="AY282" s="46" t="s">
        <v>1976</v>
      </c>
      <c r="AZ282" s="34"/>
      <c r="BA282" s="30"/>
      <c r="BB282" s="111">
        <v>45357.0</v>
      </c>
      <c r="BC282" s="35"/>
      <c r="BD282" s="32">
        <f>67.71/500</f>
        <v>0.13542</v>
      </c>
      <c r="BE282" s="46" t="s">
        <v>1977</v>
      </c>
      <c r="BF282" s="31"/>
      <c r="BG282" s="30"/>
      <c r="BH282" s="30"/>
      <c r="BI282" s="31"/>
      <c r="BJ282" s="32">
        <f>27/500</f>
        <v>0.054</v>
      </c>
      <c r="BK282" s="46" t="s">
        <v>1978</v>
      </c>
      <c r="BL282" s="30"/>
      <c r="BM282" s="30"/>
    </row>
    <row r="283">
      <c r="A283" s="18" t="s">
        <v>25</v>
      </c>
      <c r="B283" s="18" t="s">
        <v>1979</v>
      </c>
      <c r="C283" s="19" t="s">
        <v>1980</v>
      </c>
      <c r="D283" s="19" t="s">
        <v>67</v>
      </c>
      <c r="E283" s="19" t="s">
        <v>68</v>
      </c>
      <c r="F283" s="20">
        <v>1.0</v>
      </c>
      <c r="G283" s="21">
        <v>1.0</v>
      </c>
      <c r="H283" s="21">
        <v>150.0</v>
      </c>
      <c r="I283" s="21">
        <v>150.0</v>
      </c>
      <c r="J283" s="45"/>
      <c r="K283" s="23">
        <v>121.99</v>
      </c>
      <c r="L283" s="24">
        <v>282.0</v>
      </c>
      <c r="M283" s="25" t="s">
        <v>69</v>
      </c>
      <c r="N283" s="25" t="s">
        <v>70</v>
      </c>
      <c r="O283" s="25">
        <v>2.1000000585E10</v>
      </c>
      <c r="P283" s="26" t="s">
        <v>1981</v>
      </c>
      <c r="Q283" s="27" t="s">
        <v>1982</v>
      </c>
      <c r="R283" s="28" t="s">
        <v>1704</v>
      </c>
      <c r="S283" s="29">
        <f t="shared" si="1"/>
        <v>1</v>
      </c>
      <c r="T283" s="30"/>
      <c r="U283" s="30"/>
      <c r="V283" s="30"/>
      <c r="W283" s="30"/>
      <c r="X283" s="30"/>
      <c r="Y283" s="30"/>
      <c r="Z283" s="29">
        <v>1.0</v>
      </c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1"/>
      <c r="AT283" s="38" t="s">
        <v>678</v>
      </c>
      <c r="AU283" s="32">
        <f t="shared" si="4"/>
        <v>104.855</v>
      </c>
      <c r="AV283" s="33">
        <f t="shared" si="3"/>
        <v>136.3115</v>
      </c>
      <c r="AW283" s="34"/>
      <c r="AX283" s="42">
        <v>145.11</v>
      </c>
      <c r="AY283" s="46" t="s">
        <v>1983</v>
      </c>
      <c r="AZ283" s="34"/>
      <c r="BA283" s="30"/>
      <c r="BB283" s="111">
        <v>45357.0</v>
      </c>
      <c r="BC283" s="35"/>
      <c r="BD283" s="42">
        <v>64.6</v>
      </c>
      <c r="BE283" s="46" t="s">
        <v>1984</v>
      </c>
      <c r="BF283" s="31"/>
      <c r="BG283" s="30"/>
      <c r="BH283" s="30"/>
      <c r="BI283" s="31"/>
      <c r="BJ283" s="32"/>
      <c r="BK283" s="49"/>
      <c r="BL283" s="30"/>
      <c r="BM283" s="30"/>
    </row>
    <row r="284">
      <c r="A284" s="18" t="s">
        <v>25</v>
      </c>
      <c r="B284" s="48" t="s">
        <v>1985</v>
      </c>
      <c r="C284" s="19" t="s">
        <v>1986</v>
      </c>
      <c r="D284" s="19" t="s">
        <v>67</v>
      </c>
      <c r="E284" s="19" t="s">
        <v>68</v>
      </c>
      <c r="F284" s="20">
        <v>500.0</v>
      </c>
      <c r="G284" s="21">
        <v>5.0</v>
      </c>
      <c r="H284" s="21">
        <v>2.0</v>
      </c>
      <c r="I284" s="21">
        <v>10.0</v>
      </c>
      <c r="J284" s="45"/>
      <c r="K284" s="23">
        <v>3.84</v>
      </c>
      <c r="L284" s="24">
        <v>283.0</v>
      </c>
      <c r="M284" s="25" t="s">
        <v>69</v>
      </c>
      <c r="N284" s="25" t="s">
        <v>70</v>
      </c>
      <c r="O284" s="25">
        <v>2.1000000212E10</v>
      </c>
      <c r="P284" s="26" t="s">
        <v>1987</v>
      </c>
      <c r="Q284" s="27" t="s">
        <v>1988</v>
      </c>
      <c r="R284" s="28" t="s">
        <v>79</v>
      </c>
      <c r="S284" s="29">
        <f t="shared" si="1"/>
        <v>500</v>
      </c>
      <c r="T284" s="30"/>
      <c r="U284" s="30"/>
      <c r="V284" s="30"/>
      <c r="W284" s="30"/>
      <c r="X284" s="30"/>
      <c r="Y284" s="30"/>
      <c r="Z284" s="28">
        <v>500.0</v>
      </c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1"/>
      <c r="AT284" s="38" t="s">
        <v>678</v>
      </c>
      <c r="AU284" s="32">
        <f t="shared" si="4"/>
        <v>3.831</v>
      </c>
      <c r="AV284" s="33">
        <f t="shared" si="3"/>
        <v>4.9803</v>
      </c>
      <c r="AW284" s="34"/>
      <c r="AX284" s="32">
        <f>383.1/100</f>
        <v>3.831</v>
      </c>
      <c r="AY284" s="46" t="s">
        <v>1989</v>
      </c>
      <c r="AZ284" s="34"/>
      <c r="BA284" s="30"/>
      <c r="BB284" s="111">
        <v>45357.0</v>
      </c>
      <c r="BC284" s="35"/>
      <c r="BD284" s="32"/>
      <c r="BE284" s="31"/>
      <c r="BF284" s="31"/>
      <c r="BG284" s="30"/>
      <c r="BH284" s="30"/>
      <c r="BI284" s="31"/>
      <c r="BJ284" s="32"/>
      <c r="BK284" s="31"/>
      <c r="BL284" s="30"/>
      <c r="BM284" s="30"/>
    </row>
    <row r="285">
      <c r="A285" s="18" t="s">
        <v>30</v>
      </c>
      <c r="B285" s="48" t="s">
        <v>1990</v>
      </c>
      <c r="C285" s="19" t="s">
        <v>1991</v>
      </c>
      <c r="D285" s="19" t="s">
        <v>67</v>
      </c>
      <c r="E285" s="19" t="s">
        <v>68</v>
      </c>
      <c r="F285" s="20">
        <v>3000.0</v>
      </c>
      <c r="G285" s="21">
        <v>3000.0</v>
      </c>
      <c r="H285" s="21">
        <v>0.03</v>
      </c>
      <c r="I285" s="21">
        <v>90.0</v>
      </c>
      <c r="J285" s="45"/>
      <c r="K285" s="23">
        <v>0.05</v>
      </c>
      <c r="L285" s="24">
        <v>284.0</v>
      </c>
      <c r="M285" s="25" t="s">
        <v>69</v>
      </c>
      <c r="N285" s="25" t="s">
        <v>70</v>
      </c>
      <c r="O285" s="25">
        <v>2.1000000216E10</v>
      </c>
      <c r="P285" s="26" t="s">
        <v>1992</v>
      </c>
      <c r="Q285" s="27" t="s">
        <v>1993</v>
      </c>
      <c r="R285" s="28" t="s">
        <v>79</v>
      </c>
      <c r="S285" s="29">
        <f t="shared" si="1"/>
        <v>4000</v>
      </c>
      <c r="T285" s="30"/>
      <c r="U285" s="30"/>
      <c r="V285" s="30"/>
      <c r="W285" s="30"/>
      <c r="X285" s="30"/>
      <c r="Y285" s="30"/>
      <c r="Z285" s="38">
        <v>1000.0</v>
      </c>
      <c r="AA285" s="30"/>
      <c r="AB285" s="30"/>
      <c r="AC285" s="30"/>
      <c r="AD285" s="30"/>
      <c r="AE285" s="29">
        <v>3000.0</v>
      </c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1"/>
      <c r="AT285" s="38" t="s">
        <v>678</v>
      </c>
      <c r="AU285" s="32">
        <f t="shared" si="4"/>
        <v>0.05082</v>
      </c>
      <c r="AV285" s="33">
        <f t="shared" si="3"/>
        <v>0.066066</v>
      </c>
      <c r="AW285" s="34"/>
      <c r="AX285" s="32">
        <f>27.98/500</f>
        <v>0.05596</v>
      </c>
      <c r="AY285" s="46" t="s">
        <v>1994</v>
      </c>
      <c r="AZ285" s="34"/>
      <c r="BA285" s="30"/>
      <c r="BB285" s="111">
        <v>45357.0</v>
      </c>
      <c r="BC285" s="35"/>
      <c r="BD285" s="32">
        <f>20.27/500</f>
        <v>0.04054</v>
      </c>
      <c r="BE285" s="46" t="s">
        <v>1995</v>
      </c>
      <c r="BF285" s="31"/>
      <c r="BG285" s="30"/>
      <c r="BH285" s="30"/>
      <c r="BI285" s="31"/>
      <c r="BJ285" s="32">
        <f>27.98/500</f>
        <v>0.05596</v>
      </c>
      <c r="BK285" s="46" t="s">
        <v>1996</v>
      </c>
      <c r="BL285" s="30"/>
      <c r="BM285" s="30"/>
    </row>
    <row r="286">
      <c r="A286" s="18" t="s">
        <v>23</v>
      </c>
      <c r="B286" s="18" t="s">
        <v>1997</v>
      </c>
      <c r="C286" s="19" t="s">
        <v>1998</v>
      </c>
      <c r="D286" s="19" t="s">
        <v>67</v>
      </c>
      <c r="E286" s="19" t="s">
        <v>68</v>
      </c>
      <c r="F286" s="20">
        <v>1.0</v>
      </c>
      <c r="G286" s="21">
        <v>1.0</v>
      </c>
      <c r="H286" s="21">
        <v>548.98</v>
      </c>
      <c r="I286" s="21">
        <v>548.98</v>
      </c>
      <c r="J286" s="36" t="s">
        <v>1999</v>
      </c>
      <c r="K286" s="78">
        <v>226.74</v>
      </c>
      <c r="L286" s="24">
        <v>285.0</v>
      </c>
      <c r="M286" s="25" t="s">
        <v>69</v>
      </c>
      <c r="N286" s="25" t="s">
        <v>70</v>
      </c>
      <c r="O286" s="25">
        <v>2.1000000675E10</v>
      </c>
      <c r="P286" s="26" t="s">
        <v>2000</v>
      </c>
      <c r="Q286" s="27" t="s">
        <v>2001</v>
      </c>
      <c r="R286" s="28" t="s">
        <v>1113</v>
      </c>
      <c r="S286" s="29">
        <f t="shared" si="1"/>
        <v>2</v>
      </c>
      <c r="T286" s="30"/>
      <c r="U286" s="30"/>
      <c r="V286" s="30"/>
      <c r="W286" s="30"/>
      <c r="X286" s="28">
        <v>2.0</v>
      </c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1"/>
      <c r="AT286" s="30"/>
      <c r="AU286" s="32" t="str">
        <f t="shared" si="4"/>
        <v>#DIV/0!</v>
      </c>
      <c r="AV286" s="33" t="str">
        <f t="shared" si="3"/>
        <v>#DIV/0!</v>
      </c>
      <c r="AW286" s="34"/>
      <c r="AX286" s="32"/>
      <c r="AY286" s="31"/>
      <c r="AZ286" s="34"/>
      <c r="BA286" s="30"/>
      <c r="BB286" s="30"/>
      <c r="BC286" s="35"/>
      <c r="BD286" s="32"/>
      <c r="BE286" s="31"/>
      <c r="BF286" s="31"/>
      <c r="BG286" s="30"/>
      <c r="BH286" s="30"/>
      <c r="BI286" s="31"/>
      <c r="BJ286" s="32"/>
      <c r="BK286" s="31"/>
      <c r="BL286" s="30"/>
      <c r="BM286" s="30"/>
    </row>
    <row r="287">
      <c r="A287" s="18" t="s">
        <v>36</v>
      </c>
      <c r="B287" s="18" t="s">
        <v>2002</v>
      </c>
      <c r="C287" s="19" t="s">
        <v>2003</v>
      </c>
      <c r="D287" s="19" t="s">
        <v>67</v>
      </c>
      <c r="E287" s="19" t="s">
        <v>68</v>
      </c>
      <c r="F287" s="20">
        <v>7.0</v>
      </c>
      <c r="G287" s="21">
        <v>7.0</v>
      </c>
      <c r="H287" s="21">
        <v>500.0</v>
      </c>
      <c r="I287" s="21">
        <v>3500.0</v>
      </c>
      <c r="J287" s="36" t="s">
        <v>1110</v>
      </c>
      <c r="K287" s="78">
        <v>490.13</v>
      </c>
      <c r="L287" s="24">
        <v>286.0</v>
      </c>
      <c r="M287" s="25" t="s">
        <v>69</v>
      </c>
      <c r="N287" s="25" t="s">
        <v>70</v>
      </c>
      <c r="O287" s="25">
        <v>2.1000000676E10</v>
      </c>
      <c r="P287" s="26" t="s">
        <v>2004</v>
      </c>
      <c r="Q287" s="27" t="s">
        <v>2005</v>
      </c>
      <c r="R287" s="28" t="s">
        <v>1113</v>
      </c>
      <c r="S287" s="29">
        <f t="shared" si="1"/>
        <v>7</v>
      </c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29">
        <v>7.0</v>
      </c>
      <c r="AL287" s="30"/>
      <c r="AM287" s="30"/>
      <c r="AN287" s="30"/>
      <c r="AO287" s="30"/>
      <c r="AP287" s="30"/>
      <c r="AQ287" s="30"/>
      <c r="AR287" s="30"/>
      <c r="AS287" s="31"/>
      <c r="AT287" s="30"/>
      <c r="AU287" s="32" t="str">
        <f t="shared" si="4"/>
        <v>#DIV/0!</v>
      </c>
      <c r="AV287" s="33" t="str">
        <f t="shared" si="3"/>
        <v>#DIV/0!</v>
      </c>
      <c r="AW287" s="34"/>
      <c r="AX287" s="32"/>
      <c r="AY287" s="31"/>
      <c r="AZ287" s="34"/>
      <c r="BA287" s="30"/>
      <c r="BB287" s="30"/>
      <c r="BC287" s="35"/>
      <c r="BD287" s="32"/>
      <c r="BE287" s="31"/>
      <c r="BF287" s="31"/>
      <c r="BG287" s="30"/>
      <c r="BH287" s="30"/>
      <c r="BI287" s="31"/>
      <c r="BJ287" s="32"/>
      <c r="BK287" s="31"/>
      <c r="BL287" s="30"/>
      <c r="BM287" s="30"/>
    </row>
    <row r="288">
      <c r="A288" s="18" t="s">
        <v>25</v>
      </c>
      <c r="B288" s="48" t="s">
        <v>2006</v>
      </c>
      <c r="C288" s="19" t="s">
        <v>2007</v>
      </c>
      <c r="D288" s="19" t="s">
        <v>67</v>
      </c>
      <c r="E288" s="19" t="s">
        <v>68</v>
      </c>
      <c r="F288" s="20">
        <v>2.0</v>
      </c>
      <c r="G288" s="21">
        <v>2.0</v>
      </c>
      <c r="H288" s="21">
        <v>56.3</v>
      </c>
      <c r="I288" s="21">
        <v>112.6</v>
      </c>
      <c r="J288" s="45"/>
      <c r="K288" s="23">
        <v>0.09</v>
      </c>
      <c r="L288" s="24">
        <v>287.0</v>
      </c>
      <c r="M288" s="25" t="s">
        <v>69</v>
      </c>
      <c r="N288" s="25" t="s">
        <v>70</v>
      </c>
      <c r="O288" s="25">
        <v>2.1000000217E10</v>
      </c>
      <c r="P288" s="26" t="s">
        <v>2008</v>
      </c>
      <c r="Q288" s="27" t="s">
        <v>2009</v>
      </c>
      <c r="R288" s="28" t="s">
        <v>73</v>
      </c>
      <c r="S288" s="29">
        <f t="shared" si="1"/>
        <v>8000</v>
      </c>
      <c r="T288" s="30"/>
      <c r="U288" s="30"/>
      <c r="V288" s="30"/>
      <c r="W288" s="30"/>
      <c r="X288" s="30"/>
      <c r="Y288" s="30"/>
      <c r="Z288" s="28">
        <v>6000.0</v>
      </c>
      <c r="AA288" s="30"/>
      <c r="AB288" s="30"/>
      <c r="AC288" s="30"/>
      <c r="AD288" s="30"/>
      <c r="AE288" s="30"/>
      <c r="AF288" s="30"/>
      <c r="AG288" s="30"/>
      <c r="AH288" s="30"/>
      <c r="AI288" s="30"/>
      <c r="AJ288" s="38">
        <v>2000.0</v>
      </c>
      <c r="AK288" s="30"/>
      <c r="AL288" s="30"/>
      <c r="AM288" s="30"/>
      <c r="AN288" s="30"/>
      <c r="AO288" s="30"/>
      <c r="AP288" s="30"/>
      <c r="AQ288" s="30"/>
      <c r="AR288" s="30"/>
      <c r="AS288" s="31"/>
      <c r="AT288" s="38" t="s">
        <v>678</v>
      </c>
      <c r="AU288" s="32">
        <f t="shared" si="4"/>
        <v>0.08767333333</v>
      </c>
      <c r="AV288" s="33">
        <f t="shared" si="3"/>
        <v>0.1139753333</v>
      </c>
      <c r="AW288" s="34"/>
      <c r="AX288" s="32">
        <f>43.43/500</f>
        <v>0.08686</v>
      </c>
      <c r="AY288" s="46" t="s">
        <v>2010</v>
      </c>
      <c r="AZ288" s="34"/>
      <c r="BA288" s="30"/>
      <c r="BB288" s="111">
        <v>45357.0</v>
      </c>
      <c r="BC288" s="35"/>
      <c r="BD288" s="32">
        <f>38.98/500</f>
        <v>0.07796</v>
      </c>
      <c r="BE288" s="46" t="s">
        <v>2011</v>
      </c>
      <c r="BF288" s="31"/>
      <c r="BG288" s="30"/>
      <c r="BH288" s="30"/>
      <c r="BI288" s="31"/>
      <c r="BJ288" s="32">
        <f>49.1/500</f>
        <v>0.0982</v>
      </c>
      <c r="BK288" s="46" t="s">
        <v>2012</v>
      </c>
      <c r="BL288" s="30"/>
      <c r="BM288" s="30"/>
    </row>
    <row r="289">
      <c r="A289" s="18" t="s">
        <v>43</v>
      </c>
      <c r="B289" s="87" t="s">
        <v>2013</v>
      </c>
      <c r="C289" s="53">
        <v>366478.0</v>
      </c>
      <c r="D289" s="19" t="s">
        <v>67</v>
      </c>
      <c r="E289" s="19" t="s">
        <v>68</v>
      </c>
      <c r="F289" s="20">
        <v>15.0</v>
      </c>
      <c r="G289" s="21">
        <v>15.0</v>
      </c>
      <c r="H289" s="21">
        <v>30.0</v>
      </c>
      <c r="I289" s="21">
        <v>450.0</v>
      </c>
      <c r="J289" s="45"/>
      <c r="K289" s="23">
        <v>0.06</v>
      </c>
      <c r="L289" s="24">
        <v>288.0</v>
      </c>
      <c r="M289" s="25" t="s">
        <v>69</v>
      </c>
      <c r="N289" s="25" t="s">
        <v>70</v>
      </c>
      <c r="O289" s="25">
        <v>2.1000000211E10</v>
      </c>
      <c r="P289" s="26" t="s">
        <v>2014</v>
      </c>
      <c r="Q289" s="27" t="s">
        <v>2015</v>
      </c>
      <c r="R289" s="28" t="s">
        <v>73</v>
      </c>
      <c r="S289" s="29">
        <f t="shared" si="1"/>
        <v>16500</v>
      </c>
      <c r="T289" s="30"/>
      <c r="U289" s="30"/>
      <c r="V289" s="30"/>
      <c r="W289" s="30"/>
      <c r="X289" s="30"/>
      <c r="Y289" s="30"/>
      <c r="Z289" s="38">
        <v>500.0</v>
      </c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8">
        <v>1000.0</v>
      </c>
      <c r="AM289" s="30"/>
      <c r="AN289" s="30"/>
      <c r="AO289" s="30"/>
      <c r="AP289" s="30"/>
      <c r="AQ289" s="30"/>
      <c r="AR289" s="28">
        <v>15000.0</v>
      </c>
      <c r="AS289" s="31"/>
      <c r="AT289" s="38" t="s">
        <v>678</v>
      </c>
      <c r="AU289" s="32">
        <f t="shared" si="4"/>
        <v>0.05212</v>
      </c>
      <c r="AV289" s="33">
        <f t="shared" si="3"/>
        <v>0.067756</v>
      </c>
      <c r="AW289" s="34"/>
      <c r="AX289" s="32">
        <f>25.61/500</f>
        <v>0.05122</v>
      </c>
      <c r="AY289" s="46" t="s">
        <v>2016</v>
      </c>
      <c r="AZ289" s="34"/>
      <c r="BA289" s="30"/>
      <c r="BB289" s="111">
        <v>45357.0</v>
      </c>
      <c r="BC289" s="35"/>
      <c r="BD289" s="32">
        <f>30/500</f>
        <v>0.06</v>
      </c>
      <c r="BE289" s="46" t="s">
        <v>2017</v>
      </c>
      <c r="BF289" s="31"/>
      <c r="BG289" s="30"/>
      <c r="BH289" s="30"/>
      <c r="BI289" s="31"/>
      <c r="BJ289" s="32">
        <f>22.57/500</f>
        <v>0.04514</v>
      </c>
      <c r="BK289" s="46" t="s">
        <v>2018</v>
      </c>
      <c r="BL289" s="30"/>
      <c r="BM289" s="30"/>
    </row>
    <row r="290">
      <c r="A290" s="18" t="s">
        <v>25</v>
      </c>
      <c r="B290" s="18" t="s">
        <v>2019</v>
      </c>
      <c r="C290" s="19" t="s">
        <v>2020</v>
      </c>
      <c r="D290" s="19" t="s">
        <v>67</v>
      </c>
      <c r="E290" s="19" t="s">
        <v>68</v>
      </c>
      <c r="F290" s="20">
        <v>1.0</v>
      </c>
      <c r="G290" s="21">
        <v>1.0</v>
      </c>
      <c r="H290" s="21">
        <v>710.0</v>
      </c>
      <c r="I290" s="21">
        <v>710.0</v>
      </c>
      <c r="J290" s="45"/>
      <c r="K290" s="23">
        <v>865.79</v>
      </c>
      <c r="L290" s="24">
        <v>289.0</v>
      </c>
      <c r="M290" s="25" t="s">
        <v>69</v>
      </c>
      <c r="N290" s="25" t="s">
        <v>70</v>
      </c>
      <c r="O290" s="25">
        <v>2.1000000219E10</v>
      </c>
      <c r="P290" s="26" t="s">
        <v>2021</v>
      </c>
      <c r="Q290" s="27" t="s">
        <v>2022</v>
      </c>
      <c r="R290" s="28" t="s">
        <v>1704</v>
      </c>
      <c r="S290" s="29">
        <f t="shared" si="1"/>
        <v>1</v>
      </c>
      <c r="T290" s="30"/>
      <c r="U290" s="30"/>
      <c r="V290" s="30"/>
      <c r="W290" s="30"/>
      <c r="X290" s="30"/>
      <c r="Y290" s="30"/>
      <c r="Z290" s="29">
        <v>1.0</v>
      </c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1"/>
      <c r="AT290" s="38" t="s">
        <v>678</v>
      </c>
      <c r="AU290" s="32">
        <f t="shared" si="4"/>
        <v>768</v>
      </c>
      <c r="AV290" s="33">
        <f t="shared" si="3"/>
        <v>998.4</v>
      </c>
      <c r="AW290" s="34"/>
      <c r="AX290" s="42">
        <v>768.0</v>
      </c>
      <c r="AY290" s="46" t="s">
        <v>2023</v>
      </c>
      <c r="AZ290" s="34"/>
      <c r="BA290" s="30"/>
      <c r="BB290" s="111">
        <v>45357.0</v>
      </c>
      <c r="BC290" s="35"/>
      <c r="BD290" s="32"/>
      <c r="BE290" s="31"/>
      <c r="BF290" s="31"/>
      <c r="BG290" s="30"/>
      <c r="BH290" s="30"/>
      <c r="BI290" s="31"/>
      <c r="BJ290" s="32"/>
      <c r="BK290" s="31"/>
      <c r="BL290" s="30"/>
      <c r="BM290" s="30"/>
    </row>
    <row r="291">
      <c r="A291" s="18" t="s">
        <v>25</v>
      </c>
      <c r="B291" s="48" t="s">
        <v>2024</v>
      </c>
      <c r="C291" s="19" t="s">
        <v>2025</v>
      </c>
      <c r="D291" s="19" t="s">
        <v>67</v>
      </c>
      <c r="E291" s="19" t="s">
        <v>68</v>
      </c>
      <c r="F291" s="20">
        <v>200.0</v>
      </c>
      <c r="G291" s="21">
        <v>2.0</v>
      </c>
      <c r="H291" s="21">
        <v>100.0</v>
      </c>
      <c r="I291" s="21">
        <v>200.0</v>
      </c>
      <c r="J291" s="45"/>
      <c r="K291" s="23">
        <v>1.01</v>
      </c>
      <c r="L291" s="24">
        <v>290.0</v>
      </c>
      <c r="M291" s="25" t="s">
        <v>69</v>
      </c>
      <c r="N291" s="25" t="s">
        <v>70</v>
      </c>
      <c r="O291" s="25">
        <v>2.1000000351E10</v>
      </c>
      <c r="P291" s="26" t="s">
        <v>2026</v>
      </c>
      <c r="Q291" s="27" t="s">
        <v>2027</v>
      </c>
      <c r="R291" s="28" t="s">
        <v>73</v>
      </c>
      <c r="S291" s="29">
        <f t="shared" si="1"/>
        <v>300</v>
      </c>
      <c r="T291" s="30"/>
      <c r="U291" s="30"/>
      <c r="V291" s="30"/>
      <c r="W291" s="30"/>
      <c r="X291" s="30"/>
      <c r="Y291" s="30"/>
      <c r="Z291" s="28">
        <v>200.0</v>
      </c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8">
        <v>100.0</v>
      </c>
      <c r="AM291" s="30"/>
      <c r="AN291" s="30"/>
      <c r="AO291" s="30"/>
      <c r="AP291" s="30"/>
      <c r="AQ291" s="30"/>
      <c r="AR291" s="30"/>
      <c r="AS291" s="31"/>
      <c r="AT291" s="38" t="s">
        <v>678</v>
      </c>
      <c r="AU291" s="32">
        <f t="shared" si="4"/>
        <v>1.075366667</v>
      </c>
      <c r="AV291" s="33">
        <f t="shared" si="3"/>
        <v>1.397976667</v>
      </c>
      <c r="AW291" s="34"/>
      <c r="AX291" s="32">
        <f>121.75/100</f>
        <v>1.2175</v>
      </c>
      <c r="AY291" s="46" t="s">
        <v>2028</v>
      </c>
      <c r="AZ291" s="34"/>
      <c r="BA291" s="30"/>
      <c r="BB291" s="111">
        <v>45357.0</v>
      </c>
      <c r="BC291" s="35"/>
      <c r="BD291" s="32">
        <f>112/100</f>
        <v>1.12</v>
      </c>
      <c r="BE291" s="46" t="s">
        <v>2029</v>
      </c>
      <c r="BF291" s="31"/>
      <c r="BG291" s="30"/>
      <c r="BH291" s="30"/>
      <c r="BI291" s="31"/>
      <c r="BJ291" s="42">
        <f>88.86/100</f>
        <v>0.8886</v>
      </c>
      <c r="BK291" s="46" t="s">
        <v>2030</v>
      </c>
      <c r="BL291" s="30"/>
      <c r="BM291" s="30"/>
    </row>
    <row r="292">
      <c r="A292" s="18" t="s">
        <v>25</v>
      </c>
      <c r="B292" s="48" t="s">
        <v>2031</v>
      </c>
      <c r="C292" s="19" t="s">
        <v>2032</v>
      </c>
      <c r="D292" s="19" t="s">
        <v>67</v>
      </c>
      <c r="E292" s="19" t="s">
        <v>68</v>
      </c>
      <c r="F292" s="20">
        <v>1000.0</v>
      </c>
      <c r="G292" s="21">
        <v>20.0</v>
      </c>
      <c r="H292" s="21">
        <v>242.0</v>
      </c>
      <c r="I292" s="21">
        <v>4840.0</v>
      </c>
      <c r="J292" s="45"/>
      <c r="K292" s="23">
        <v>4.45</v>
      </c>
      <c r="L292" s="24">
        <v>291.0</v>
      </c>
      <c r="M292" s="25" t="s">
        <v>69</v>
      </c>
      <c r="N292" s="25" t="s">
        <v>70</v>
      </c>
      <c r="O292" s="25">
        <v>2.100000022E10</v>
      </c>
      <c r="P292" s="26" t="s">
        <v>2033</v>
      </c>
      <c r="Q292" s="27" t="s">
        <v>2034</v>
      </c>
      <c r="R292" s="28" t="s">
        <v>73</v>
      </c>
      <c r="S292" s="29">
        <f t="shared" si="1"/>
        <v>100</v>
      </c>
      <c r="T292" s="30"/>
      <c r="U292" s="30"/>
      <c r="V292" s="30"/>
      <c r="W292" s="30"/>
      <c r="X292" s="30"/>
      <c r="Y292" s="30"/>
      <c r="Z292" s="28">
        <v>100.0</v>
      </c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1"/>
      <c r="AT292" s="38" t="s">
        <v>678</v>
      </c>
      <c r="AU292" s="32">
        <f t="shared" si="4"/>
        <v>3.8949</v>
      </c>
      <c r="AV292" s="33">
        <f t="shared" si="3"/>
        <v>5.06337</v>
      </c>
      <c r="AW292" s="34"/>
      <c r="AX292" s="32">
        <f>221.9/50</f>
        <v>4.438</v>
      </c>
      <c r="AY292" s="46" t="s">
        <v>2035</v>
      </c>
      <c r="AZ292" s="34"/>
      <c r="BA292" s="30"/>
      <c r="BB292" s="111">
        <v>45357.0</v>
      </c>
      <c r="BC292" s="35"/>
      <c r="BD292" s="32">
        <f>167.59/50</f>
        <v>3.3518</v>
      </c>
      <c r="BE292" s="46" t="s">
        <v>2036</v>
      </c>
      <c r="BF292" s="31"/>
      <c r="BG292" s="30"/>
      <c r="BH292" s="30"/>
      <c r="BI292" s="31"/>
      <c r="BJ292" s="32"/>
      <c r="BK292" s="49"/>
      <c r="BL292" s="30"/>
      <c r="BM292" s="30"/>
    </row>
    <row r="293">
      <c r="A293" s="18" t="s">
        <v>41</v>
      </c>
      <c r="B293" s="18" t="s">
        <v>2037</v>
      </c>
      <c r="C293" s="19" t="s">
        <v>2038</v>
      </c>
      <c r="D293" s="19" t="s">
        <v>67</v>
      </c>
      <c r="E293" s="19" t="s">
        <v>68</v>
      </c>
      <c r="F293" s="20">
        <v>500.0</v>
      </c>
      <c r="G293" s="21">
        <v>500.0</v>
      </c>
      <c r="H293" s="21">
        <v>0.16</v>
      </c>
      <c r="I293" s="21">
        <v>80.0</v>
      </c>
      <c r="J293" s="45"/>
      <c r="K293" s="23">
        <v>0.16</v>
      </c>
      <c r="L293" s="24">
        <v>292.0</v>
      </c>
      <c r="M293" s="25" t="s">
        <v>69</v>
      </c>
      <c r="N293" s="25" t="s">
        <v>70</v>
      </c>
      <c r="O293" s="25">
        <v>2.1000000221E10</v>
      </c>
      <c r="P293" s="26" t="s">
        <v>2039</v>
      </c>
      <c r="Q293" s="27" t="s">
        <v>2040</v>
      </c>
      <c r="R293" s="28" t="s">
        <v>73</v>
      </c>
      <c r="S293" s="29">
        <f t="shared" si="1"/>
        <v>500</v>
      </c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29">
        <v>500.0</v>
      </c>
      <c r="AQ293" s="30"/>
      <c r="AR293" s="30"/>
      <c r="AS293" s="31"/>
      <c r="AT293" s="38" t="s">
        <v>678</v>
      </c>
      <c r="AU293" s="32">
        <f t="shared" si="4"/>
        <v>0.1450466667</v>
      </c>
      <c r="AV293" s="33">
        <f t="shared" si="3"/>
        <v>0.1885606667</v>
      </c>
      <c r="AW293" s="34"/>
      <c r="AX293" s="32">
        <f>70.27/500</f>
        <v>0.14054</v>
      </c>
      <c r="AY293" s="46" t="s">
        <v>2041</v>
      </c>
      <c r="AZ293" s="34"/>
      <c r="BA293" s="30"/>
      <c r="BB293" s="111">
        <v>45357.0</v>
      </c>
      <c r="BC293" s="35"/>
      <c r="BD293" s="32">
        <f>75.54/500</f>
        <v>0.15108</v>
      </c>
      <c r="BE293" s="46" t="s">
        <v>2042</v>
      </c>
      <c r="BF293" s="31"/>
      <c r="BG293" s="30"/>
      <c r="BH293" s="30"/>
      <c r="BI293" s="31"/>
      <c r="BJ293" s="32">
        <f>71.76/500</f>
        <v>0.14352</v>
      </c>
      <c r="BK293" s="46" t="s">
        <v>2043</v>
      </c>
      <c r="BL293" s="30"/>
      <c r="BM293" s="30"/>
    </row>
    <row r="294">
      <c r="A294" s="18" t="s">
        <v>25</v>
      </c>
      <c r="B294" s="48" t="s">
        <v>2044</v>
      </c>
      <c r="C294" s="19" t="s">
        <v>2045</v>
      </c>
      <c r="D294" s="19" t="s">
        <v>67</v>
      </c>
      <c r="E294" s="19" t="s">
        <v>68</v>
      </c>
      <c r="F294" s="20">
        <v>1000.0</v>
      </c>
      <c r="G294" s="21">
        <v>2.0</v>
      </c>
      <c r="H294" s="21">
        <v>375.0</v>
      </c>
      <c r="I294" s="21">
        <v>750.0</v>
      </c>
      <c r="J294" s="45"/>
      <c r="K294" s="23">
        <v>0.29</v>
      </c>
      <c r="L294" s="24">
        <v>293.0</v>
      </c>
      <c r="M294" s="25" t="s">
        <v>69</v>
      </c>
      <c r="N294" s="25" t="s">
        <v>70</v>
      </c>
      <c r="O294" s="25">
        <v>2.1000000185E10</v>
      </c>
      <c r="P294" s="26" t="s">
        <v>2046</v>
      </c>
      <c r="Q294" s="27" t="s">
        <v>2047</v>
      </c>
      <c r="R294" s="28" t="s">
        <v>73</v>
      </c>
      <c r="S294" s="29">
        <f t="shared" si="1"/>
        <v>1500</v>
      </c>
      <c r="T294" s="30"/>
      <c r="U294" s="30"/>
      <c r="V294" s="30"/>
      <c r="W294" s="30"/>
      <c r="X294" s="30"/>
      <c r="Y294" s="30"/>
      <c r="Z294" s="28">
        <v>1000.0</v>
      </c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8">
        <v>500.0</v>
      </c>
      <c r="AQ294" s="30"/>
      <c r="AR294" s="30"/>
      <c r="AS294" s="31"/>
      <c r="AT294" s="38" t="s">
        <v>678</v>
      </c>
      <c r="AU294" s="32">
        <f t="shared" si="4"/>
        <v>0.2663333333</v>
      </c>
      <c r="AV294" s="33">
        <f t="shared" si="3"/>
        <v>0.3462333333</v>
      </c>
      <c r="AW294" s="34"/>
      <c r="AX294" s="32">
        <f>311/1000</f>
        <v>0.311</v>
      </c>
      <c r="AY294" s="46" t="s">
        <v>2048</v>
      </c>
      <c r="AZ294" s="34"/>
      <c r="BA294" s="30"/>
      <c r="BB294" s="111">
        <v>45357.0</v>
      </c>
      <c r="BC294" s="35"/>
      <c r="BD294" s="32">
        <f>120/500</f>
        <v>0.24</v>
      </c>
      <c r="BE294" s="46" t="s">
        <v>2049</v>
      </c>
      <c r="BF294" s="31"/>
      <c r="BG294" s="30"/>
      <c r="BH294" s="30"/>
      <c r="BI294" s="31"/>
      <c r="BJ294" s="32">
        <f>124/500</f>
        <v>0.248</v>
      </c>
      <c r="BK294" s="46" t="s">
        <v>2050</v>
      </c>
      <c r="BL294" s="30"/>
      <c r="BM294" s="30"/>
    </row>
    <row r="295">
      <c r="A295" s="18" t="s">
        <v>25</v>
      </c>
      <c r="B295" s="48" t="s">
        <v>2051</v>
      </c>
      <c r="C295" s="19" t="s">
        <v>2052</v>
      </c>
      <c r="D295" s="19" t="s">
        <v>67</v>
      </c>
      <c r="E295" s="19" t="s">
        <v>68</v>
      </c>
      <c r="F295" s="20">
        <v>500.0</v>
      </c>
      <c r="G295" s="21">
        <v>500.0</v>
      </c>
      <c r="H295" s="21">
        <v>0.03</v>
      </c>
      <c r="I295" s="21">
        <v>15.0</v>
      </c>
      <c r="J295" s="45"/>
      <c r="K295" s="23">
        <v>0.33</v>
      </c>
      <c r="L295" s="24">
        <v>294.0</v>
      </c>
      <c r="M295" s="25" t="s">
        <v>69</v>
      </c>
      <c r="N295" s="25" t="s">
        <v>70</v>
      </c>
      <c r="O295" s="25">
        <v>2.100000045E10</v>
      </c>
      <c r="P295" s="26" t="s">
        <v>2053</v>
      </c>
      <c r="Q295" s="27" t="s">
        <v>2054</v>
      </c>
      <c r="R295" s="28" t="s">
        <v>73</v>
      </c>
      <c r="S295" s="29">
        <f t="shared" si="1"/>
        <v>4500</v>
      </c>
      <c r="T295" s="30"/>
      <c r="U295" s="30"/>
      <c r="V295" s="30"/>
      <c r="W295" s="30"/>
      <c r="X295" s="30"/>
      <c r="Y295" s="30"/>
      <c r="Z295" s="28">
        <v>2500.0</v>
      </c>
      <c r="AA295" s="30"/>
      <c r="AB295" s="30"/>
      <c r="AC295" s="38">
        <v>2000.0</v>
      </c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1"/>
      <c r="AT295" s="38" t="s">
        <v>678</v>
      </c>
      <c r="AU295" s="32">
        <f t="shared" si="4"/>
        <v>0.07033333333</v>
      </c>
      <c r="AV295" s="33">
        <f t="shared" si="3"/>
        <v>0.09143333333</v>
      </c>
      <c r="AW295" s="34"/>
      <c r="AX295" s="32">
        <f>49.54/500</f>
        <v>0.09908</v>
      </c>
      <c r="AY295" s="46" t="s">
        <v>2055</v>
      </c>
      <c r="AZ295" s="34"/>
      <c r="BA295" s="30"/>
      <c r="BB295" s="111">
        <v>45357.0</v>
      </c>
      <c r="BC295" s="35"/>
      <c r="BD295" s="32">
        <f>30.96/500</f>
        <v>0.06192</v>
      </c>
      <c r="BE295" s="46" t="s">
        <v>2056</v>
      </c>
      <c r="BF295" s="31"/>
      <c r="BG295" s="30"/>
      <c r="BH295" s="30"/>
      <c r="BI295" s="31"/>
      <c r="BJ295" s="32">
        <f>25/500</f>
        <v>0.05</v>
      </c>
      <c r="BK295" s="46" t="s">
        <v>2057</v>
      </c>
      <c r="BL295" s="30"/>
      <c r="BM295" s="30"/>
    </row>
    <row r="296">
      <c r="A296" s="18" t="s">
        <v>30</v>
      </c>
      <c r="B296" s="48" t="s">
        <v>2058</v>
      </c>
      <c r="C296" s="19" t="s">
        <v>2059</v>
      </c>
      <c r="D296" s="19" t="s">
        <v>67</v>
      </c>
      <c r="E296" s="19" t="s">
        <v>68</v>
      </c>
      <c r="F296" s="20">
        <v>12.0</v>
      </c>
      <c r="G296" s="21">
        <v>12.0</v>
      </c>
      <c r="H296" s="21">
        <v>30.0</v>
      </c>
      <c r="I296" s="21">
        <v>360.0</v>
      </c>
      <c r="J296" s="45"/>
      <c r="K296" s="23">
        <v>57.24</v>
      </c>
      <c r="L296" s="24">
        <v>295.0</v>
      </c>
      <c r="M296" s="25" t="s">
        <v>69</v>
      </c>
      <c r="N296" s="25" t="s">
        <v>70</v>
      </c>
      <c r="O296" s="25">
        <v>2.1000000174E10</v>
      </c>
      <c r="P296" s="26" t="s">
        <v>2060</v>
      </c>
      <c r="Q296" s="27" t="s">
        <v>2061</v>
      </c>
      <c r="R296" s="28" t="s">
        <v>1704</v>
      </c>
      <c r="S296" s="29">
        <f t="shared" si="1"/>
        <v>25</v>
      </c>
      <c r="T296" s="30"/>
      <c r="U296" s="30"/>
      <c r="V296" s="30"/>
      <c r="W296" s="30"/>
      <c r="X296" s="30"/>
      <c r="Y296" s="30"/>
      <c r="Z296" s="38">
        <v>13.0</v>
      </c>
      <c r="AA296" s="30"/>
      <c r="AB296" s="30"/>
      <c r="AC296" s="30"/>
      <c r="AD296" s="30"/>
      <c r="AE296" s="29">
        <v>12.0</v>
      </c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1"/>
      <c r="AT296" s="38" t="s">
        <v>678</v>
      </c>
      <c r="AU296" s="32">
        <f t="shared" si="4"/>
        <v>53.35</v>
      </c>
      <c r="AV296" s="33">
        <f t="shared" si="3"/>
        <v>69.355</v>
      </c>
      <c r="AW296" s="34"/>
      <c r="AX296" s="42">
        <v>56.7</v>
      </c>
      <c r="AY296" s="46" t="s">
        <v>2062</v>
      </c>
      <c r="AZ296" s="34"/>
      <c r="BA296" s="30"/>
      <c r="BB296" s="111">
        <v>45357.0</v>
      </c>
      <c r="BC296" s="35"/>
      <c r="BD296" s="42">
        <v>50.0</v>
      </c>
      <c r="BE296" s="46" t="s">
        <v>2063</v>
      </c>
      <c r="BF296" s="31"/>
      <c r="BG296" s="30"/>
      <c r="BH296" s="30"/>
      <c r="BI296" s="31"/>
      <c r="BJ296" s="32"/>
      <c r="BK296" s="31"/>
      <c r="BL296" s="30"/>
      <c r="BM296" s="30"/>
    </row>
    <row r="297">
      <c r="A297" s="18" t="s">
        <v>25</v>
      </c>
      <c r="B297" s="48" t="s">
        <v>2064</v>
      </c>
      <c r="C297" s="19" t="s">
        <v>2065</v>
      </c>
      <c r="D297" s="19" t="s">
        <v>67</v>
      </c>
      <c r="E297" s="19" t="s">
        <v>68</v>
      </c>
      <c r="F297" s="20">
        <v>10.0</v>
      </c>
      <c r="G297" s="21">
        <v>10.0</v>
      </c>
      <c r="H297" s="21">
        <v>140.0</v>
      </c>
      <c r="I297" s="21">
        <v>1400.0</v>
      </c>
      <c r="J297" s="45"/>
      <c r="K297" s="23">
        <v>190.75</v>
      </c>
      <c r="L297" s="24">
        <v>296.0</v>
      </c>
      <c r="M297" s="112" t="s">
        <v>69</v>
      </c>
      <c r="N297" s="112" t="s">
        <v>70</v>
      </c>
      <c r="O297" s="113">
        <v>2.1000000505E10</v>
      </c>
      <c r="P297" s="26" t="s">
        <v>2066</v>
      </c>
      <c r="Q297" s="27" t="s">
        <v>2067</v>
      </c>
      <c r="R297" s="28" t="s">
        <v>1704</v>
      </c>
      <c r="S297" s="29">
        <f t="shared" si="1"/>
        <v>30</v>
      </c>
      <c r="T297" s="30"/>
      <c r="U297" s="30"/>
      <c r="V297" s="30"/>
      <c r="W297" s="30"/>
      <c r="X297" s="30"/>
      <c r="Y297" s="30"/>
      <c r="Z297" s="29">
        <v>10.0</v>
      </c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8">
        <v>20.0</v>
      </c>
      <c r="AS297" s="31"/>
      <c r="AT297" s="38" t="s">
        <v>678</v>
      </c>
      <c r="AU297" s="32">
        <f t="shared" si="4"/>
        <v>174.7166667</v>
      </c>
      <c r="AV297" s="33">
        <f t="shared" si="3"/>
        <v>227.1316667</v>
      </c>
      <c r="AW297" s="34"/>
      <c r="AX297" s="42">
        <v>190.0</v>
      </c>
      <c r="AY297" s="46" t="s">
        <v>2068</v>
      </c>
      <c r="AZ297" s="34"/>
      <c r="BA297" s="30"/>
      <c r="BB297" s="111">
        <v>45357.0</v>
      </c>
      <c r="BC297" s="35"/>
      <c r="BD297" s="42">
        <v>175.16</v>
      </c>
      <c r="BE297" s="46" t="s">
        <v>2069</v>
      </c>
      <c r="BF297" s="31"/>
      <c r="BG297" s="30"/>
      <c r="BH297" s="30"/>
      <c r="BI297" s="31"/>
      <c r="BJ297" s="42">
        <v>158.99</v>
      </c>
      <c r="BK297" s="46" t="s">
        <v>2070</v>
      </c>
      <c r="BL297" s="30"/>
      <c r="BM297" s="30"/>
    </row>
    <row r="298">
      <c r="A298" s="18" t="s">
        <v>20</v>
      </c>
      <c r="B298" s="48" t="s">
        <v>2071</v>
      </c>
      <c r="C298" s="19" t="s">
        <v>2072</v>
      </c>
      <c r="D298" s="19" t="s">
        <v>67</v>
      </c>
      <c r="E298" s="19" t="s">
        <v>68</v>
      </c>
      <c r="F298" s="20">
        <v>3.0</v>
      </c>
      <c r="G298" s="21">
        <v>3.0</v>
      </c>
      <c r="H298" s="21">
        <v>249.9</v>
      </c>
      <c r="I298" s="21">
        <v>749.7</v>
      </c>
      <c r="J298" s="36" t="s">
        <v>2073</v>
      </c>
      <c r="K298" s="23">
        <v>19.25</v>
      </c>
      <c r="L298" s="24">
        <v>297.0</v>
      </c>
      <c r="M298" s="25" t="s">
        <v>69</v>
      </c>
      <c r="N298" s="25" t="s">
        <v>70</v>
      </c>
      <c r="O298" s="25">
        <v>2.100000038E10</v>
      </c>
      <c r="P298" s="26" t="s">
        <v>2074</v>
      </c>
      <c r="Q298" s="27" t="s">
        <v>2075</v>
      </c>
      <c r="R298" s="28" t="s">
        <v>79</v>
      </c>
      <c r="S298" s="29">
        <f t="shared" si="1"/>
        <v>160</v>
      </c>
      <c r="T298" s="38"/>
      <c r="U298" s="28">
        <v>30.0</v>
      </c>
      <c r="V298" s="30"/>
      <c r="W298" s="38">
        <v>30.0</v>
      </c>
      <c r="X298" s="30"/>
      <c r="Y298" s="30"/>
      <c r="Z298" s="38">
        <v>100.0</v>
      </c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49"/>
      <c r="AT298" s="38" t="s">
        <v>678</v>
      </c>
      <c r="AU298" s="32">
        <f t="shared" si="4"/>
        <v>17.488</v>
      </c>
      <c r="AV298" s="33">
        <f t="shared" si="3"/>
        <v>22.7344</v>
      </c>
      <c r="AW298" s="37"/>
      <c r="AX298" s="42">
        <f>172.09/10</f>
        <v>17.209</v>
      </c>
      <c r="AY298" s="46" t="s">
        <v>2076</v>
      </c>
      <c r="AZ298" s="37"/>
      <c r="BA298" s="38"/>
      <c r="BB298" s="111">
        <v>45357.0</v>
      </c>
      <c r="BC298" s="41"/>
      <c r="BD298" s="42">
        <f>148.5/10</f>
        <v>14.85</v>
      </c>
      <c r="BE298" s="46" t="s">
        <v>2077</v>
      </c>
      <c r="BF298" s="49"/>
      <c r="BG298" s="38"/>
      <c r="BH298" s="38"/>
      <c r="BI298" s="49"/>
      <c r="BJ298" s="42">
        <f>204.05/10</f>
        <v>20.405</v>
      </c>
      <c r="BK298" s="46" t="s">
        <v>2078</v>
      </c>
      <c r="BL298" s="38"/>
      <c r="BM298" s="38"/>
    </row>
    <row r="299">
      <c r="A299" s="18" t="s">
        <v>25</v>
      </c>
      <c r="B299" s="48" t="s">
        <v>2079</v>
      </c>
      <c r="C299" s="115">
        <v>357777.0</v>
      </c>
      <c r="D299" s="19" t="s">
        <v>67</v>
      </c>
      <c r="E299" s="19" t="s">
        <v>68</v>
      </c>
      <c r="F299" s="20">
        <v>2.0</v>
      </c>
      <c r="G299" s="21">
        <v>2.0</v>
      </c>
      <c r="H299" s="21">
        <v>250.0</v>
      </c>
      <c r="I299" s="21">
        <v>500.0</v>
      </c>
      <c r="J299" s="116"/>
      <c r="K299" s="78">
        <v>831.22</v>
      </c>
      <c r="L299" s="24">
        <v>298.0</v>
      </c>
      <c r="M299" s="25" t="s">
        <v>69</v>
      </c>
      <c r="N299" s="25" t="s">
        <v>70</v>
      </c>
      <c r="O299" s="25">
        <v>2.1000000674E10</v>
      </c>
      <c r="P299" s="26" t="s">
        <v>2080</v>
      </c>
      <c r="Q299" s="117" t="s">
        <v>2081</v>
      </c>
      <c r="R299" s="28" t="s">
        <v>1413</v>
      </c>
      <c r="S299" s="29">
        <f t="shared" si="1"/>
        <v>2</v>
      </c>
      <c r="T299" s="118"/>
      <c r="U299" s="118"/>
      <c r="V299" s="118"/>
      <c r="W299" s="118"/>
      <c r="X299" s="118"/>
      <c r="Y299" s="118"/>
      <c r="Z299" s="29">
        <v>2.0</v>
      </c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Q299" s="118"/>
      <c r="AR299" s="118"/>
      <c r="AS299" s="118"/>
      <c r="AT299" s="119"/>
      <c r="AU299" s="120" t="str">
        <f t="shared" si="4"/>
        <v>#DIV/0!</v>
      </c>
      <c r="AV299" s="121" t="str">
        <f t="shared" si="3"/>
        <v>#DIV/0!</v>
      </c>
      <c r="AW299" s="118"/>
      <c r="AX299" s="122"/>
      <c r="AY299" s="123"/>
      <c r="AZ299" s="118"/>
      <c r="BA299" s="118"/>
      <c r="BB299" s="118"/>
      <c r="BC299" s="118"/>
      <c r="BD299" s="122"/>
      <c r="BE299" s="123"/>
      <c r="BF299" s="118"/>
      <c r="BG299" s="118"/>
      <c r="BH299" s="118"/>
      <c r="BI299" s="118"/>
      <c r="BJ299" s="122"/>
      <c r="BK299" s="123"/>
      <c r="BL299" s="118"/>
      <c r="BM299" s="118"/>
    </row>
    <row r="300">
      <c r="A300" s="18" t="s">
        <v>25</v>
      </c>
      <c r="B300" s="18" t="s">
        <v>2082</v>
      </c>
      <c r="C300" s="19" t="s">
        <v>2083</v>
      </c>
      <c r="D300" s="19" t="s">
        <v>67</v>
      </c>
      <c r="E300" s="19" t="s">
        <v>68</v>
      </c>
      <c r="F300" s="20">
        <v>500.0</v>
      </c>
      <c r="G300" s="21">
        <v>1.0</v>
      </c>
      <c r="H300" s="21">
        <v>20.0</v>
      </c>
      <c r="I300" s="21">
        <v>20.0</v>
      </c>
      <c r="J300" s="45"/>
      <c r="K300" s="23">
        <v>0.06</v>
      </c>
      <c r="L300" s="24">
        <v>299.0</v>
      </c>
      <c r="M300" s="25" t="s">
        <v>69</v>
      </c>
      <c r="N300" s="25" t="s">
        <v>70</v>
      </c>
      <c r="O300" s="25">
        <v>2.1000000168E10</v>
      </c>
      <c r="P300" s="26" t="s">
        <v>2084</v>
      </c>
      <c r="Q300" s="27" t="s">
        <v>2085</v>
      </c>
      <c r="R300" s="28" t="s">
        <v>73</v>
      </c>
      <c r="S300" s="29">
        <f t="shared" si="1"/>
        <v>500</v>
      </c>
      <c r="T300" s="30"/>
      <c r="U300" s="30"/>
      <c r="V300" s="30"/>
      <c r="W300" s="30"/>
      <c r="X300" s="30"/>
      <c r="Y300" s="30"/>
      <c r="Z300" s="28">
        <v>500.0</v>
      </c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1"/>
      <c r="AT300" s="38" t="s">
        <v>678</v>
      </c>
      <c r="AU300" s="32">
        <f t="shared" si="4"/>
        <v>0.05121333333</v>
      </c>
      <c r="AV300" s="33">
        <f t="shared" si="3"/>
        <v>0.06657733333</v>
      </c>
      <c r="AW300" s="34"/>
      <c r="AX300" s="42">
        <f>22.35/500</f>
        <v>0.0447</v>
      </c>
      <c r="AY300" s="46" t="s">
        <v>2086</v>
      </c>
      <c r="AZ300" s="34"/>
      <c r="BA300" s="30"/>
      <c r="BB300" s="111">
        <v>45357.0</v>
      </c>
      <c r="BC300" s="35"/>
      <c r="BD300" s="42">
        <f>27.48/500</f>
        <v>0.05496</v>
      </c>
      <c r="BE300" s="46" t="s">
        <v>2087</v>
      </c>
      <c r="BF300" s="31"/>
      <c r="BG300" s="30"/>
      <c r="BH300" s="30"/>
      <c r="BI300" s="31"/>
      <c r="BJ300" s="42">
        <f>26.99/500</f>
        <v>0.05398</v>
      </c>
      <c r="BK300" s="46" t="s">
        <v>2088</v>
      </c>
      <c r="BL300" s="30"/>
      <c r="BM300" s="30"/>
    </row>
    <row r="301">
      <c r="A301" s="18" t="s">
        <v>43</v>
      </c>
      <c r="B301" s="48" t="s">
        <v>2089</v>
      </c>
      <c r="C301" s="19" t="s">
        <v>2090</v>
      </c>
      <c r="D301" s="19" t="s">
        <v>67</v>
      </c>
      <c r="E301" s="19" t="s">
        <v>68</v>
      </c>
      <c r="F301" s="20">
        <v>5.0</v>
      </c>
      <c r="G301" s="21">
        <v>5.0</v>
      </c>
      <c r="H301" s="21">
        <v>65.0</v>
      </c>
      <c r="I301" s="21">
        <v>325.0</v>
      </c>
      <c r="J301" s="45"/>
      <c r="K301" s="23">
        <v>81.47</v>
      </c>
      <c r="L301" s="24">
        <v>300.0</v>
      </c>
      <c r="M301" s="112" t="s">
        <v>69</v>
      </c>
      <c r="N301" s="112" t="s">
        <v>70</v>
      </c>
      <c r="O301" s="113">
        <v>2.1000000332E10</v>
      </c>
      <c r="P301" s="26" t="s">
        <v>2091</v>
      </c>
      <c r="Q301" s="27" t="s">
        <v>2092</v>
      </c>
      <c r="R301" s="28" t="s">
        <v>1042</v>
      </c>
      <c r="S301" s="29">
        <f t="shared" si="1"/>
        <v>7</v>
      </c>
      <c r="T301" s="30"/>
      <c r="U301" s="30"/>
      <c r="V301" s="30"/>
      <c r="W301" s="30"/>
      <c r="X301" s="30"/>
      <c r="Y301" s="30"/>
      <c r="Z301" s="38">
        <v>2.0</v>
      </c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28">
        <v>5.0</v>
      </c>
      <c r="AS301" s="31"/>
      <c r="AT301" s="38" t="s">
        <v>678</v>
      </c>
      <c r="AU301" s="32">
        <f t="shared" si="4"/>
        <v>70.43666667</v>
      </c>
      <c r="AV301" s="33">
        <f t="shared" si="3"/>
        <v>91.56766667</v>
      </c>
      <c r="AW301" s="37" t="s">
        <v>82</v>
      </c>
      <c r="AX301" s="42">
        <v>73.92</v>
      </c>
      <c r="AY301" s="46" t="s">
        <v>2093</v>
      </c>
      <c r="AZ301" s="124"/>
      <c r="BA301" s="30"/>
      <c r="BB301" s="111">
        <v>45357.0</v>
      </c>
      <c r="BC301" s="35"/>
      <c r="BD301" s="42">
        <v>63.47</v>
      </c>
      <c r="BE301" s="46" t="s">
        <v>2094</v>
      </c>
      <c r="BF301" s="31"/>
      <c r="BG301" s="30"/>
      <c r="BH301" s="30"/>
      <c r="BI301" s="31"/>
      <c r="BJ301" s="42">
        <v>73.92</v>
      </c>
      <c r="BK301" s="46" t="s">
        <v>2095</v>
      </c>
      <c r="BL301" s="30"/>
      <c r="BM301" s="30"/>
    </row>
    <row r="302">
      <c r="A302" s="18" t="s">
        <v>37</v>
      </c>
      <c r="B302" s="48" t="s">
        <v>2096</v>
      </c>
      <c r="C302" s="19" t="s">
        <v>589</v>
      </c>
      <c r="D302" s="19" t="s">
        <v>67</v>
      </c>
      <c r="E302" s="19" t="s">
        <v>68</v>
      </c>
      <c r="F302" s="20">
        <v>1.0</v>
      </c>
      <c r="G302" s="21">
        <v>1.0</v>
      </c>
      <c r="H302" s="21">
        <v>36.96</v>
      </c>
      <c r="I302" s="21">
        <v>36.96</v>
      </c>
      <c r="J302" s="45"/>
      <c r="K302" s="23">
        <v>161.49</v>
      </c>
      <c r="L302" s="24">
        <v>301.0</v>
      </c>
      <c r="M302" s="25" t="s">
        <v>69</v>
      </c>
      <c r="N302" s="25" t="s">
        <v>70</v>
      </c>
      <c r="O302" s="25">
        <v>2.1000000516E10</v>
      </c>
      <c r="P302" s="26" t="s">
        <v>2097</v>
      </c>
      <c r="Q302" s="27" t="s">
        <v>2098</v>
      </c>
      <c r="R302" s="28" t="s">
        <v>1042</v>
      </c>
      <c r="S302" s="29">
        <f t="shared" si="1"/>
        <v>1</v>
      </c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29">
        <v>1.0</v>
      </c>
      <c r="AM302" s="30"/>
      <c r="AN302" s="30"/>
      <c r="AO302" s="30"/>
      <c r="AP302" s="30"/>
      <c r="AQ302" s="30"/>
      <c r="AR302" s="30"/>
      <c r="AS302" s="31"/>
      <c r="AT302" s="38" t="s">
        <v>678</v>
      </c>
      <c r="AU302" s="32">
        <f t="shared" si="4"/>
        <v>127.0566667</v>
      </c>
      <c r="AV302" s="33">
        <f t="shared" si="3"/>
        <v>165.1736667</v>
      </c>
      <c r="AW302" s="34"/>
      <c r="AX302" s="42">
        <v>110.0</v>
      </c>
      <c r="AY302" s="39" t="s">
        <v>2099</v>
      </c>
      <c r="AZ302" s="34"/>
      <c r="BA302" s="30"/>
      <c r="BB302" s="30"/>
      <c r="BC302" s="35"/>
      <c r="BD302" s="42">
        <v>156.25</v>
      </c>
      <c r="BE302" s="46" t="s">
        <v>2100</v>
      </c>
      <c r="BF302" s="31"/>
      <c r="BG302" s="30"/>
      <c r="BH302" s="30"/>
      <c r="BI302" s="31"/>
      <c r="BJ302" s="42">
        <v>114.92</v>
      </c>
      <c r="BK302" s="39" t="s">
        <v>2101</v>
      </c>
      <c r="BL302" s="30"/>
      <c r="BM302" s="30"/>
    </row>
    <row r="303">
      <c r="A303" s="18" t="s">
        <v>24</v>
      </c>
      <c r="B303" s="48" t="s">
        <v>2102</v>
      </c>
      <c r="C303" s="19" t="s">
        <v>2103</v>
      </c>
      <c r="D303" s="19" t="s">
        <v>67</v>
      </c>
      <c r="E303" s="19" t="s">
        <v>68</v>
      </c>
      <c r="F303" s="20">
        <v>8.0</v>
      </c>
      <c r="G303" s="21">
        <v>8.0</v>
      </c>
      <c r="H303" s="21">
        <v>43.46</v>
      </c>
      <c r="I303" s="21">
        <v>347.68</v>
      </c>
      <c r="J303" s="45"/>
      <c r="K303" s="23">
        <v>56.9</v>
      </c>
      <c r="L303" s="24">
        <v>302.0</v>
      </c>
      <c r="M303" s="25" t="s">
        <v>69</v>
      </c>
      <c r="N303" s="25" t="s">
        <v>70</v>
      </c>
      <c r="O303" s="25">
        <v>2.1000000333E10</v>
      </c>
      <c r="P303" s="26" t="s">
        <v>2102</v>
      </c>
      <c r="Q303" s="27" t="s">
        <v>2104</v>
      </c>
      <c r="R303" s="28" t="s">
        <v>1042</v>
      </c>
      <c r="S303" s="29">
        <f t="shared" si="1"/>
        <v>53</v>
      </c>
      <c r="T303" s="30"/>
      <c r="U303" s="30"/>
      <c r="V303" s="30"/>
      <c r="W303" s="30"/>
      <c r="X303" s="30"/>
      <c r="Y303" s="29">
        <v>8.0</v>
      </c>
      <c r="Z303" s="38">
        <v>35.0</v>
      </c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8">
        <v>10.0</v>
      </c>
      <c r="AS303" s="49" t="s">
        <v>84</v>
      </c>
      <c r="AT303" s="38" t="s">
        <v>678</v>
      </c>
      <c r="AU303" s="32">
        <f t="shared" si="4"/>
        <v>48.49666667</v>
      </c>
      <c r="AV303" s="33">
        <f t="shared" si="3"/>
        <v>63.04566667</v>
      </c>
      <c r="AW303" s="37" t="s">
        <v>2105</v>
      </c>
      <c r="AX303" s="42">
        <v>58.09</v>
      </c>
      <c r="AY303" s="39" t="s">
        <v>2106</v>
      </c>
      <c r="AZ303" s="37"/>
      <c r="BA303" s="38"/>
      <c r="BB303" s="111"/>
      <c r="BC303" s="41"/>
      <c r="BD303" s="42">
        <v>44.0</v>
      </c>
      <c r="BE303" s="46" t="s">
        <v>2107</v>
      </c>
      <c r="BF303" s="49"/>
      <c r="BG303" s="38"/>
      <c r="BH303" s="111"/>
      <c r="BI303" s="49"/>
      <c r="BJ303" s="42">
        <v>43.4</v>
      </c>
      <c r="BK303" s="46" t="s">
        <v>2108</v>
      </c>
      <c r="BL303" s="38" t="s">
        <v>2109</v>
      </c>
      <c r="BM303" s="111">
        <v>45357.0</v>
      </c>
    </row>
    <row r="304">
      <c r="A304" s="18" t="s">
        <v>40</v>
      </c>
      <c r="B304" s="18" t="s">
        <v>2110</v>
      </c>
      <c r="C304" s="19" t="s">
        <v>2111</v>
      </c>
      <c r="D304" s="19" t="s">
        <v>67</v>
      </c>
      <c r="E304" s="19" t="s">
        <v>68</v>
      </c>
      <c r="F304" s="20">
        <v>9.0</v>
      </c>
      <c r="G304" s="21">
        <v>9.0</v>
      </c>
      <c r="H304" s="21">
        <v>7.69</v>
      </c>
      <c r="I304" s="21">
        <v>69.21</v>
      </c>
      <c r="J304" s="45"/>
      <c r="K304" s="78">
        <v>8016.0</v>
      </c>
      <c r="L304" s="112">
        <v>303.0</v>
      </c>
      <c r="M304" s="25" t="s">
        <v>69</v>
      </c>
      <c r="N304" s="25" t="s">
        <v>70</v>
      </c>
      <c r="O304" s="25">
        <v>2.1000000678E10</v>
      </c>
      <c r="P304" s="51" t="s">
        <v>2112</v>
      </c>
      <c r="Q304" s="27" t="s">
        <v>2113</v>
      </c>
      <c r="R304" s="28" t="s">
        <v>1042</v>
      </c>
      <c r="S304" s="29">
        <f t="shared" si="1"/>
        <v>9</v>
      </c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29">
        <v>9.0</v>
      </c>
      <c r="AP304" s="30"/>
      <c r="AQ304" s="30"/>
      <c r="AR304" s="30"/>
      <c r="AS304" s="31"/>
      <c r="AT304" s="30"/>
      <c r="AU304" s="32">
        <f t="shared" si="4"/>
        <v>110</v>
      </c>
      <c r="AV304" s="33">
        <f t="shared" si="3"/>
        <v>143</v>
      </c>
      <c r="AW304" s="34"/>
      <c r="AX304" s="42">
        <v>110.0</v>
      </c>
      <c r="AY304" s="39" t="s">
        <v>2099</v>
      </c>
      <c r="AZ304" s="34"/>
      <c r="BA304" s="30"/>
      <c r="BB304" s="30"/>
      <c r="BC304" s="35"/>
      <c r="BD304" s="32"/>
      <c r="BE304" s="31"/>
      <c r="BF304" s="31"/>
      <c r="BG304" s="30"/>
      <c r="BH304" s="30"/>
      <c r="BI304" s="31"/>
      <c r="BJ304" s="32"/>
      <c r="BK304" s="31"/>
      <c r="BL304" s="30"/>
      <c r="BM304" s="30"/>
    </row>
    <row r="305">
      <c r="A305" s="18" t="s">
        <v>40</v>
      </c>
      <c r="B305" s="48" t="s">
        <v>2114</v>
      </c>
      <c r="C305" s="19" t="s">
        <v>2115</v>
      </c>
      <c r="D305" s="19" t="s">
        <v>67</v>
      </c>
      <c r="E305" s="19" t="s">
        <v>68</v>
      </c>
      <c r="F305" s="20">
        <v>1.0</v>
      </c>
      <c r="G305" s="21">
        <v>1.0</v>
      </c>
      <c r="H305" s="21">
        <v>112.17</v>
      </c>
      <c r="I305" s="21">
        <v>112.17</v>
      </c>
      <c r="J305" s="45"/>
      <c r="K305" s="23">
        <v>59.59</v>
      </c>
      <c r="L305" s="24">
        <v>304.0</v>
      </c>
      <c r="M305" s="112" t="s">
        <v>69</v>
      </c>
      <c r="N305" s="112" t="s">
        <v>70</v>
      </c>
      <c r="O305" s="113">
        <v>2.1000000089E10</v>
      </c>
      <c r="P305" s="26" t="s">
        <v>2116</v>
      </c>
      <c r="Q305" s="27" t="s">
        <v>2117</v>
      </c>
      <c r="R305" s="28" t="s">
        <v>1704</v>
      </c>
      <c r="S305" s="29">
        <f t="shared" si="1"/>
        <v>17</v>
      </c>
      <c r="T305" s="30"/>
      <c r="U305" s="30"/>
      <c r="V305" s="30"/>
      <c r="W305" s="30"/>
      <c r="X305" s="30"/>
      <c r="Y305" s="30"/>
      <c r="Z305" s="38">
        <v>9.0</v>
      </c>
      <c r="AA305" s="30"/>
      <c r="AB305" s="30"/>
      <c r="AC305" s="38">
        <v>2.0</v>
      </c>
      <c r="AD305" s="30"/>
      <c r="AE305" s="30"/>
      <c r="AF305" s="30"/>
      <c r="AG305" s="30"/>
      <c r="AH305" s="30"/>
      <c r="AI305" s="30"/>
      <c r="AJ305" s="30"/>
      <c r="AK305" s="30"/>
      <c r="AL305" s="38">
        <v>5.0</v>
      </c>
      <c r="AM305" s="30"/>
      <c r="AN305" s="30"/>
      <c r="AO305" s="29">
        <v>1.0</v>
      </c>
      <c r="AP305" s="30"/>
      <c r="AQ305" s="30"/>
      <c r="AR305" s="30"/>
      <c r="AS305" s="49" t="s">
        <v>2118</v>
      </c>
      <c r="AT305" s="38" t="s">
        <v>678</v>
      </c>
      <c r="AU305" s="32">
        <f t="shared" si="4"/>
        <v>57.27</v>
      </c>
      <c r="AV305" s="33">
        <f t="shared" si="3"/>
        <v>74.451</v>
      </c>
      <c r="AW305" s="37" t="s">
        <v>82</v>
      </c>
      <c r="AX305" s="42">
        <v>52.26</v>
      </c>
      <c r="AY305" s="46" t="s">
        <v>2119</v>
      </c>
      <c r="AZ305" s="125" t="s">
        <v>84</v>
      </c>
      <c r="BA305" s="38" t="s">
        <v>2109</v>
      </c>
      <c r="BB305" s="111">
        <v>45357.0</v>
      </c>
      <c r="BC305" s="41" t="s">
        <v>2120</v>
      </c>
      <c r="BD305" s="42">
        <v>63.65</v>
      </c>
      <c r="BE305" s="46" t="s">
        <v>2121</v>
      </c>
      <c r="BF305" s="49" t="s">
        <v>2122</v>
      </c>
      <c r="BG305" s="38" t="s">
        <v>108</v>
      </c>
      <c r="BH305" s="111">
        <v>45357.0</v>
      </c>
      <c r="BI305" s="49" t="s">
        <v>2123</v>
      </c>
      <c r="BJ305" s="42">
        <v>55.9</v>
      </c>
      <c r="BK305" s="46" t="s">
        <v>2124</v>
      </c>
      <c r="BL305" s="38" t="s">
        <v>2125</v>
      </c>
      <c r="BM305" s="111">
        <v>45357.0</v>
      </c>
    </row>
    <row r="306">
      <c r="A306" s="18" t="s">
        <v>41</v>
      </c>
      <c r="B306" s="48" t="s">
        <v>2126</v>
      </c>
      <c r="C306" s="19" t="s">
        <v>2127</v>
      </c>
      <c r="D306" s="19" t="s">
        <v>67</v>
      </c>
      <c r="E306" s="19" t="s">
        <v>68</v>
      </c>
      <c r="F306" s="20">
        <v>500.0</v>
      </c>
      <c r="G306" s="21">
        <v>500.0</v>
      </c>
      <c r="H306" s="21">
        <v>0.25</v>
      </c>
      <c r="I306" s="21">
        <v>125.0</v>
      </c>
      <c r="J306" s="45"/>
      <c r="K306" s="23">
        <v>0.27</v>
      </c>
      <c r="L306" s="24">
        <v>305.0</v>
      </c>
      <c r="M306" s="112" t="s">
        <v>69</v>
      </c>
      <c r="N306" s="112" t="s">
        <v>70</v>
      </c>
      <c r="O306" s="113">
        <v>2.1000000088E10</v>
      </c>
      <c r="P306" s="26" t="s">
        <v>2128</v>
      </c>
      <c r="Q306" s="27" t="s">
        <v>2129</v>
      </c>
      <c r="R306" s="28" t="s">
        <v>79</v>
      </c>
      <c r="S306" s="29">
        <f t="shared" si="1"/>
        <v>1000</v>
      </c>
      <c r="T306" s="30"/>
      <c r="U306" s="30"/>
      <c r="V306" s="30"/>
      <c r="W306" s="30"/>
      <c r="X306" s="30"/>
      <c r="Y306" s="30"/>
      <c r="Z306" s="38">
        <v>500.0</v>
      </c>
      <c r="AA306" s="30"/>
      <c r="AB306" s="30"/>
      <c r="AC306" s="38"/>
      <c r="AD306" s="30"/>
      <c r="AE306" s="30"/>
      <c r="AF306" s="30"/>
      <c r="AG306" s="30"/>
      <c r="AH306" s="30"/>
      <c r="AI306" s="30"/>
      <c r="AJ306" s="30"/>
      <c r="AK306" s="30"/>
      <c r="AL306" s="38"/>
      <c r="AM306" s="30"/>
      <c r="AN306" s="30"/>
      <c r="AO306" s="29"/>
      <c r="AP306" s="30">
        <v>500.0</v>
      </c>
      <c r="AQ306" s="30"/>
      <c r="AR306" s="30"/>
      <c r="AS306" s="49" t="s">
        <v>2130</v>
      </c>
      <c r="AT306" s="38" t="s">
        <v>599</v>
      </c>
      <c r="AU306" s="32">
        <f t="shared" si="4"/>
        <v>0.2474466667</v>
      </c>
      <c r="AV306" s="33">
        <f t="shared" si="3"/>
        <v>0.3216806667</v>
      </c>
      <c r="AW306" s="37" t="s">
        <v>82</v>
      </c>
      <c r="AX306" s="32">
        <f>146.64/500</f>
        <v>0.29328</v>
      </c>
      <c r="AY306" s="126" t="s">
        <v>2131</v>
      </c>
      <c r="AZ306" s="37" t="s">
        <v>84</v>
      </c>
      <c r="BA306" s="38" t="s">
        <v>2132</v>
      </c>
      <c r="BB306" s="111">
        <v>45357.0</v>
      </c>
      <c r="BC306" s="41" t="s">
        <v>2120</v>
      </c>
      <c r="BD306" s="32">
        <f>101.05/500</f>
        <v>0.2021</v>
      </c>
      <c r="BE306" s="46" t="s">
        <v>2133</v>
      </c>
      <c r="BF306" s="49" t="s">
        <v>2122</v>
      </c>
      <c r="BG306" s="38" t="s">
        <v>108</v>
      </c>
      <c r="BH306" s="111">
        <v>45357.0</v>
      </c>
      <c r="BI306" s="49" t="s">
        <v>2134</v>
      </c>
      <c r="BJ306" s="32">
        <f>123.48/500</f>
        <v>0.24696</v>
      </c>
      <c r="BK306" s="46" t="s">
        <v>2135</v>
      </c>
      <c r="BL306" s="38" t="s">
        <v>128</v>
      </c>
      <c r="BM306" s="111">
        <v>45357.0</v>
      </c>
    </row>
    <row r="307">
      <c r="A307" s="18" t="s">
        <v>25</v>
      </c>
      <c r="B307" s="18" t="s">
        <v>2136</v>
      </c>
      <c r="C307" s="19" t="s">
        <v>2137</v>
      </c>
      <c r="D307" s="19" t="s">
        <v>67</v>
      </c>
      <c r="E307" s="19" t="s">
        <v>68</v>
      </c>
      <c r="F307" s="20">
        <v>1.0</v>
      </c>
      <c r="G307" s="21">
        <v>1.0</v>
      </c>
      <c r="H307" s="21">
        <v>320.0</v>
      </c>
      <c r="I307" s="21">
        <v>320.0</v>
      </c>
      <c r="J307" s="36" t="s">
        <v>2138</v>
      </c>
      <c r="K307" s="23"/>
      <c r="L307" s="24"/>
      <c r="M307" s="25" t="s">
        <v>2139</v>
      </c>
      <c r="N307" s="25" t="s">
        <v>70</v>
      </c>
      <c r="O307" s="25">
        <v>2.1000000554E10</v>
      </c>
      <c r="P307" s="26" t="s">
        <v>2140</v>
      </c>
      <c r="Q307" s="27" t="s">
        <v>2141</v>
      </c>
      <c r="R307" s="28" t="s">
        <v>79</v>
      </c>
      <c r="S307" s="29">
        <f t="shared" si="1"/>
        <v>2</v>
      </c>
      <c r="T307" s="30"/>
      <c r="U307" s="30"/>
      <c r="V307" s="30"/>
      <c r="W307" s="30"/>
      <c r="X307" s="30"/>
      <c r="Y307" s="30"/>
      <c r="Z307" s="29">
        <v>1.0</v>
      </c>
      <c r="AA307" s="30"/>
      <c r="AB307" s="30"/>
      <c r="AC307" s="38">
        <v>1.0</v>
      </c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1"/>
      <c r="AT307" s="38" t="s">
        <v>599</v>
      </c>
      <c r="AU307" s="32">
        <f t="shared" si="4"/>
        <v>487</v>
      </c>
      <c r="AV307" s="33">
        <f t="shared" si="3"/>
        <v>633.1</v>
      </c>
      <c r="AW307" s="34"/>
      <c r="AX307" s="42">
        <v>487.0</v>
      </c>
      <c r="AY307" s="46" t="s">
        <v>2142</v>
      </c>
      <c r="AZ307" s="34"/>
      <c r="BA307" s="30"/>
      <c r="BB307" s="30"/>
      <c r="BC307" s="35"/>
      <c r="BD307" s="32"/>
      <c r="BE307" s="31"/>
      <c r="BF307" s="31"/>
      <c r="BG307" s="30"/>
      <c r="BH307" s="30"/>
      <c r="BI307" s="31"/>
      <c r="BJ307" s="32"/>
      <c r="BK307" s="31"/>
      <c r="BL307" s="30"/>
      <c r="BM307" s="30"/>
    </row>
    <row r="308">
      <c r="A308" s="18" t="s">
        <v>25</v>
      </c>
      <c r="B308" s="48" t="s">
        <v>2143</v>
      </c>
      <c r="C308" s="19" t="s">
        <v>2144</v>
      </c>
      <c r="D308" s="19" t="s">
        <v>67</v>
      </c>
      <c r="E308" s="19" t="s">
        <v>68</v>
      </c>
      <c r="F308" s="20">
        <v>100.0</v>
      </c>
      <c r="G308" s="21">
        <v>1.0</v>
      </c>
      <c r="H308" s="21">
        <v>5.87</v>
      </c>
      <c r="I308" s="21">
        <v>5.87</v>
      </c>
      <c r="J308" s="36" t="s">
        <v>2145</v>
      </c>
      <c r="K308" s="23"/>
      <c r="L308" s="51"/>
      <c r="M308" s="25" t="s">
        <v>2139</v>
      </c>
      <c r="N308" s="25" t="s">
        <v>70</v>
      </c>
      <c r="O308" s="25">
        <v>2.1000000549E10</v>
      </c>
      <c r="P308" s="26" t="s">
        <v>2146</v>
      </c>
      <c r="Q308" s="27" t="s">
        <v>2147</v>
      </c>
      <c r="R308" s="28" t="s">
        <v>79</v>
      </c>
      <c r="S308" s="29">
        <f t="shared" si="1"/>
        <v>200</v>
      </c>
      <c r="T308" s="30"/>
      <c r="U308" s="30"/>
      <c r="V308" s="30"/>
      <c r="W308" s="30"/>
      <c r="X308" s="30"/>
      <c r="Y308" s="30"/>
      <c r="Z308" s="28">
        <f>100+100</f>
        <v>200</v>
      </c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1"/>
      <c r="AT308" s="38"/>
      <c r="AU308" s="32" t="str">
        <f t="shared" si="4"/>
        <v>#DIV/0!</v>
      </c>
      <c r="AV308" s="33" t="str">
        <f t="shared" si="3"/>
        <v>#DIV/0!</v>
      </c>
      <c r="AW308" s="34"/>
      <c r="AX308" s="32"/>
      <c r="AY308" s="31"/>
      <c r="AZ308" s="34"/>
      <c r="BA308" s="30"/>
      <c r="BB308" s="30"/>
      <c r="BC308" s="35"/>
      <c r="BD308" s="32"/>
      <c r="BE308" s="31"/>
      <c r="BF308" s="31"/>
      <c r="BG308" s="30"/>
      <c r="BH308" s="30"/>
      <c r="BI308" s="31"/>
      <c r="BJ308" s="32"/>
      <c r="BK308" s="31"/>
      <c r="BL308" s="30"/>
      <c r="BM308" s="30"/>
    </row>
    <row r="309">
      <c r="A309" s="18" t="s">
        <v>41</v>
      </c>
      <c r="B309" s="18" t="s">
        <v>2148</v>
      </c>
      <c r="C309" s="19" t="s">
        <v>2149</v>
      </c>
      <c r="D309" s="19" t="s">
        <v>67</v>
      </c>
      <c r="E309" s="19" t="s">
        <v>68</v>
      </c>
      <c r="F309" s="20">
        <v>1.0</v>
      </c>
      <c r="G309" s="21">
        <v>2.0</v>
      </c>
      <c r="H309" s="21">
        <v>130.4</v>
      </c>
      <c r="I309" s="21">
        <v>260.8</v>
      </c>
      <c r="J309" s="36" t="s">
        <v>2150</v>
      </c>
      <c r="K309" s="23"/>
      <c r="L309" s="51"/>
      <c r="M309" s="25" t="s">
        <v>2139</v>
      </c>
      <c r="N309" s="25" t="s">
        <v>70</v>
      </c>
      <c r="O309" s="25">
        <v>2.1000000291E10</v>
      </c>
      <c r="P309" s="26" t="s">
        <v>2151</v>
      </c>
      <c r="Q309" s="27" t="s">
        <v>2152</v>
      </c>
      <c r="R309" s="28" t="s">
        <v>1710</v>
      </c>
      <c r="S309" s="29">
        <f t="shared" si="1"/>
        <v>2</v>
      </c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29">
        <v>2.0</v>
      </c>
      <c r="AQ309" s="30"/>
      <c r="AR309" s="30"/>
      <c r="AS309" s="31"/>
      <c r="AT309" s="38" t="s">
        <v>678</v>
      </c>
      <c r="AU309" s="32">
        <f t="shared" si="4"/>
        <v>128.89</v>
      </c>
      <c r="AV309" s="33">
        <f t="shared" si="3"/>
        <v>167.557</v>
      </c>
      <c r="AW309" s="34"/>
      <c r="AX309" s="42">
        <v>141.67</v>
      </c>
      <c r="AY309" s="46" t="s">
        <v>2153</v>
      </c>
      <c r="AZ309" s="34"/>
      <c r="BA309" s="30"/>
      <c r="BB309" s="30"/>
      <c r="BC309" s="35"/>
      <c r="BD309" s="42">
        <v>120.0</v>
      </c>
      <c r="BE309" s="46" t="s">
        <v>2154</v>
      </c>
      <c r="BF309" s="31"/>
      <c r="BG309" s="30"/>
      <c r="BH309" s="30"/>
      <c r="BI309" s="31"/>
      <c r="BJ309" s="42">
        <v>125.0</v>
      </c>
      <c r="BK309" s="46" t="s">
        <v>2155</v>
      </c>
      <c r="BL309" s="30"/>
      <c r="BM309" s="30"/>
    </row>
    <row r="310">
      <c r="A310" s="127" t="s">
        <v>25</v>
      </c>
      <c r="B310" s="127" t="s">
        <v>2156</v>
      </c>
      <c r="C310" s="128">
        <v>424407.0</v>
      </c>
      <c r="D310" s="129" t="s">
        <v>67</v>
      </c>
      <c r="E310" s="129" t="s">
        <v>68</v>
      </c>
      <c r="F310" s="130">
        <v>2.0</v>
      </c>
      <c r="G310" s="131">
        <v>500.0</v>
      </c>
      <c r="H310" s="131">
        <v>25.0</v>
      </c>
      <c r="I310" s="131">
        <v>12500.0</v>
      </c>
      <c r="J310" s="132"/>
      <c r="K310" s="133"/>
      <c r="L310" s="134"/>
      <c r="M310" s="135" t="s">
        <v>2139</v>
      </c>
      <c r="N310" s="135"/>
      <c r="O310" s="135" t="s">
        <v>1999</v>
      </c>
      <c r="P310" s="136"/>
      <c r="Q310" s="137" t="s">
        <v>2157</v>
      </c>
      <c r="R310" s="138" t="s">
        <v>1042</v>
      </c>
      <c r="S310" s="139">
        <f t="shared" si="1"/>
        <v>500</v>
      </c>
      <c r="T310" s="140"/>
      <c r="U310" s="140"/>
      <c r="V310" s="140"/>
      <c r="W310" s="140"/>
      <c r="X310" s="140"/>
      <c r="Y310" s="140"/>
      <c r="Z310" s="138">
        <v>500.0</v>
      </c>
      <c r="AA310" s="140"/>
      <c r="AB310" s="140"/>
      <c r="AC310" s="140"/>
      <c r="AD310" s="140"/>
      <c r="AE310" s="140"/>
      <c r="AF310" s="140"/>
      <c r="AG310" s="140"/>
      <c r="AH310" s="140"/>
      <c r="AI310" s="140"/>
      <c r="AJ310" s="140"/>
      <c r="AK310" s="140"/>
      <c r="AL310" s="140"/>
      <c r="AM310" s="140"/>
      <c r="AN310" s="140"/>
      <c r="AO310" s="140"/>
      <c r="AP310" s="140"/>
      <c r="AQ310" s="140"/>
      <c r="AR310" s="140"/>
      <c r="AS310" s="141"/>
      <c r="AT310" s="142"/>
      <c r="AU310" s="32" t="str">
        <f t="shared" si="4"/>
        <v>#DIV/0!</v>
      </c>
      <c r="AV310" s="33" t="str">
        <f t="shared" si="3"/>
        <v>#DIV/0!</v>
      </c>
      <c r="AW310" s="143"/>
      <c r="AX310" s="144"/>
      <c r="AY310" s="145" t="s">
        <v>2158</v>
      </c>
      <c r="AZ310" s="143"/>
      <c r="BA310" s="140"/>
      <c r="BB310" s="140"/>
      <c r="BC310" s="146"/>
      <c r="BD310" s="147"/>
      <c r="BE310" s="141"/>
      <c r="BF310" s="141"/>
      <c r="BG310" s="140"/>
      <c r="BH310" s="140"/>
      <c r="BI310" s="141"/>
      <c r="BJ310" s="147"/>
      <c r="BK310" s="141"/>
      <c r="BL310" s="140"/>
      <c r="BM310" s="140"/>
    </row>
    <row r="311">
      <c r="A311" s="81"/>
      <c r="B311" s="81"/>
      <c r="C311" s="81"/>
      <c r="D311" s="81"/>
      <c r="E311" s="81"/>
      <c r="F311" s="81"/>
      <c r="G311" s="81"/>
      <c r="H311" s="81"/>
      <c r="I311" s="81"/>
      <c r="J311" s="148"/>
      <c r="K311" s="149"/>
      <c r="L311" s="150"/>
      <c r="M311" s="151"/>
      <c r="N311" s="151"/>
      <c r="O311" s="151"/>
      <c r="P311" s="152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153"/>
      <c r="AW311" s="81"/>
      <c r="AX311" s="81"/>
      <c r="AY311" s="154"/>
      <c r="AZ311" s="81"/>
      <c r="BA311" s="81"/>
      <c r="BB311" s="81"/>
      <c r="BC311" s="81"/>
      <c r="BD311" s="81"/>
      <c r="BE311" s="154"/>
      <c r="BF311" s="81"/>
      <c r="BG311" s="81"/>
      <c r="BH311" s="81"/>
      <c r="BI311" s="81"/>
      <c r="BJ311" s="81"/>
      <c r="BK311" s="154"/>
      <c r="BL311" s="81"/>
      <c r="BM311" s="81"/>
    </row>
    <row r="312">
      <c r="A312" s="81"/>
      <c r="B312" s="81"/>
      <c r="C312" s="81"/>
      <c r="D312" s="81"/>
      <c r="E312" s="81"/>
      <c r="F312" s="81"/>
      <c r="G312" s="81"/>
      <c r="H312" s="81"/>
      <c r="I312" s="81"/>
      <c r="J312" s="148"/>
      <c r="K312" s="149"/>
      <c r="L312" s="150"/>
      <c r="M312" s="151"/>
      <c r="N312" s="151"/>
      <c r="O312" s="151"/>
      <c r="P312" s="152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153"/>
      <c r="AW312" s="81"/>
      <c r="AX312" s="81"/>
      <c r="AY312" s="154"/>
      <c r="AZ312" s="81"/>
      <c r="BA312" s="81"/>
      <c r="BB312" s="81"/>
      <c r="BC312" s="81"/>
      <c r="BD312" s="81"/>
      <c r="BE312" s="154"/>
      <c r="BF312" s="81"/>
      <c r="BG312" s="81"/>
      <c r="BH312" s="81"/>
      <c r="BI312" s="81"/>
      <c r="BJ312" s="81"/>
      <c r="BK312" s="154"/>
      <c r="BL312" s="81"/>
      <c r="BM312" s="81"/>
    </row>
    <row r="313" ht="27.0" customHeight="1">
      <c r="A313" s="19" t="s">
        <v>2159</v>
      </c>
      <c r="B313" s="18" t="s">
        <v>2160</v>
      </c>
      <c r="C313" s="19" t="s">
        <v>2161</v>
      </c>
      <c r="D313" s="19" t="s">
        <v>2162</v>
      </c>
      <c r="E313" s="19" t="s">
        <v>68</v>
      </c>
      <c r="F313" s="20">
        <v>120.0</v>
      </c>
      <c r="G313" s="20">
        <v>120.0</v>
      </c>
      <c r="H313" s="20">
        <v>14.08</v>
      </c>
      <c r="I313" s="20">
        <v>1689.6</v>
      </c>
      <c r="J313" s="155" t="s">
        <v>2163</v>
      </c>
      <c r="K313" s="149"/>
      <c r="L313" s="150"/>
      <c r="M313" s="151"/>
      <c r="N313" s="151"/>
      <c r="O313" s="151"/>
      <c r="P313" s="152"/>
      <c r="Q313" s="81"/>
      <c r="R313" s="81"/>
      <c r="S313" s="81"/>
      <c r="T313" s="156"/>
      <c r="U313" s="156"/>
      <c r="V313" s="156"/>
      <c r="W313" s="156"/>
      <c r="X313" s="156"/>
      <c r="Y313" s="156"/>
      <c r="Z313" s="157"/>
      <c r="AA313" s="156"/>
      <c r="AB313" s="156"/>
      <c r="AC313" s="157"/>
      <c r="AD313" s="156"/>
      <c r="AE313" s="156"/>
      <c r="AF313" s="156"/>
      <c r="AG313" s="156"/>
      <c r="AH313" s="156"/>
      <c r="AI313" s="156"/>
      <c r="AJ313" s="156"/>
      <c r="AK313" s="156"/>
      <c r="AL313" s="157"/>
      <c r="AM313" s="156"/>
      <c r="AN313" s="156"/>
      <c r="AO313" s="158"/>
      <c r="AP313" s="156"/>
      <c r="AQ313" s="156"/>
      <c r="AR313" s="156"/>
      <c r="AS313" s="159"/>
      <c r="AT313" s="81"/>
      <c r="AU313" s="81"/>
      <c r="AV313" s="153"/>
      <c r="AW313" s="81"/>
      <c r="AX313" s="81"/>
      <c r="AY313" s="154"/>
      <c r="AZ313" s="81"/>
      <c r="BA313" s="81"/>
      <c r="BB313" s="81"/>
      <c r="BC313" s="81"/>
      <c r="BD313" s="81"/>
      <c r="BE313" s="154"/>
      <c r="BF313" s="81"/>
      <c r="BG313" s="81"/>
      <c r="BH313" s="81"/>
      <c r="BI313" s="159"/>
      <c r="BJ313" s="91"/>
      <c r="BK313" s="159"/>
      <c r="BL313" s="157"/>
      <c r="BM313" s="160"/>
    </row>
    <row r="314" ht="27.0" customHeight="1">
      <c r="A314" s="19"/>
      <c r="B314" s="53"/>
      <c r="C314" s="19"/>
      <c r="D314" s="19"/>
      <c r="E314" s="19"/>
      <c r="F314" s="20"/>
      <c r="G314" s="20"/>
      <c r="H314" s="20"/>
      <c r="I314" s="81"/>
      <c r="J314" s="155"/>
      <c r="K314" s="149"/>
      <c r="L314" s="150"/>
      <c r="M314" s="151"/>
      <c r="N314" s="151"/>
      <c r="O314" s="151"/>
      <c r="P314" s="152"/>
      <c r="Q314" s="81"/>
      <c r="R314" s="81"/>
      <c r="S314" s="81"/>
      <c r="T314" s="156"/>
      <c r="U314" s="156"/>
      <c r="V314" s="156"/>
      <c r="W314" s="156"/>
      <c r="X314" s="156"/>
      <c r="Y314" s="156"/>
      <c r="Z314" s="157"/>
      <c r="AA314" s="156"/>
      <c r="AB314" s="156"/>
      <c r="AC314" s="157"/>
      <c r="AD314" s="156"/>
      <c r="AE314" s="156"/>
      <c r="AF314" s="156"/>
      <c r="AG314" s="156"/>
      <c r="AH314" s="156"/>
      <c r="AI314" s="156"/>
      <c r="AJ314" s="156"/>
      <c r="AK314" s="156"/>
      <c r="AL314" s="157"/>
      <c r="AM314" s="156"/>
      <c r="AN314" s="156"/>
      <c r="AO314" s="158"/>
      <c r="AP314" s="156"/>
      <c r="AQ314" s="156"/>
      <c r="AR314" s="156"/>
      <c r="AS314" s="159"/>
      <c r="AT314" s="81"/>
      <c r="AU314" s="81"/>
      <c r="AV314" s="153"/>
      <c r="AW314" s="81"/>
      <c r="AX314" s="81"/>
      <c r="AY314" s="154"/>
      <c r="AZ314" s="81"/>
      <c r="BA314" s="81"/>
      <c r="BB314" s="81"/>
      <c r="BC314" s="81"/>
      <c r="BD314" s="81"/>
      <c r="BE314" s="154"/>
      <c r="BF314" s="81"/>
      <c r="BG314" s="81"/>
      <c r="BH314" s="81"/>
      <c r="BI314" s="159"/>
      <c r="BJ314" s="91"/>
      <c r="BK314" s="159"/>
      <c r="BL314" s="157"/>
      <c r="BM314" s="160"/>
    </row>
    <row r="315" ht="27.0" customHeight="1">
      <c r="A315" s="19"/>
      <c r="B315" s="53"/>
      <c r="C315" s="19"/>
      <c r="D315" s="19"/>
      <c r="E315" s="19"/>
      <c r="F315" s="20"/>
      <c r="G315" s="20"/>
      <c r="H315" s="20"/>
      <c r="I315" s="81"/>
      <c r="J315" s="155"/>
      <c r="K315" s="149"/>
      <c r="L315" s="150"/>
      <c r="M315" s="151"/>
      <c r="N315" s="151"/>
      <c r="O315" s="151"/>
      <c r="P315" s="152"/>
      <c r="Q315" s="81"/>
      <c r="R315" s="81"/>
      <c r="S315" s="81"/>
      <c r="T315" s="156"/>
      <c r="U315" s="156"/>
      <c r="V315" s="156"/>
      <c r="W315" s="156"/>
      <c r="X315" s="156"/>
      <c r="Y315" s="156"/>
      <c r="Z315" s="157"/>
      <c r="AA315" s="156"/>
      <c r="AB315" s="156"/>
      <c r="AC315" s="157"/>
      <c r="AD315" s="156"/>
      <c r="AE315" s="156"/>
      <c r="AF315" s="156"/>
      <c r="AG315" s="156"/>
      <c r="AH315" s="156"/>
      <c r="AI315" s="156"/>
      <c r="AJ315" s="156"/>
      <c r="AK315" s="156"/>
      <c r="AL315" s="157"/>
      <c r="AM315" s="156"/>
      <c r="AN315" s="156"/>
      <c r="AO315" s="158"/>
      <c r="AP315" s="156"/>
      <c r="AQ315" s="156"/>
      <c r="AR315" s="156"/>
      <c r="AS315" s="159"/>
      <c r="AT315" s="81"/>
      <c r="AU315" s="81"/>
      <c r="AV315" s="153"/>
      <c r="AW315" s="81"/>
      <c r="AX315" s="81"/>
      <c r="AY315" s="154"/>
      <c r="AZ315" s="81"/>
      <c r="BA315" s="81"/>
      <c r="BB315" s="81"/>
      <c r="BC315" s="81"/>
      <c r="BD315" s="81"/>
      <c r="BE315" s="154"/>
      <c r="BF315" s="81"/>
      <c r="BG315" s="81"/>
      <c r="BH315" s="81"/>
      <c r="BI315" s="159"/>
      <c r="BJ315" s="91"/>
      <c r="BK315" s="159"/>
      <c r="BL315" s="157"/>
      <c r="BM315" s="160"/>
    </row>
    <row r="316" ht="27.0" customHeight="1">
      <c r="A316" s="19"/>
      <c r="B316" s="53"/>
      <c r="C316" s="19"/>
      <c r="D316" s="19"/>
      <c r="E316" s="19"/>
      <c r="F316" s="20"/>
      <c r="G316" s="20"/>
      <c r="H316" s="20"/>
      <c r="I316" s="81"/>
      <c r="J316" s="155"/>
      <c r="K316" s="149"/>
      <c r="L316" s="150"/>
      <c r="M316" s="151"/>
      <c r="N316" s="151"/>
      <c r="O316" s="151"/>
      <c r="P316" s="152"/>
      <c r="Q316" s="81"/>
      <c r="R316" s="81"/>
      <c r="S316" s="81"/>
      <c r="T316" s="156"/>
      <c r="U316" s="156"/>
      <c r="V316" s="156"/>
      <c r="W316" s="156"/>
      <c r="X316" s="156"/>
      <c r="Y316" s="156"/>
      <c r="Z316" s="157"/>
      <c r="AA316" s="156"/>
      <c r="AB316" s="156"/>
      <c r="AC316" s="157"/>
      <c r="AD316" s="156"/>
      <c r="AE316" s="156"/>
      <c r="AF316" s="156"/>
      <c r="AG316" s="156"/>
      <c r="AH316" s="156"/>
      <c r="AI316" s="156"/>
      <c r="AJ316" s="156"/>
      <c r="AK316" s="156"/>
      <c r="AL316" s="157"/>
      <c r="AM316" s="156"/>
      <c r="AN316" s="156"/>
      <c r="AO316" s="158"/>
      <c r="AP316" s="156"/>
      <c r="AQ316" s="156"/>
      <c r="AR316" s="156"/>
      <c r="AS316" s="159"/>
      <c r="AT316" s="81"/>
      <c r="AU316" s="81"/>
      <c r="AV316" s="153"/>
      <c r="AW316" s="81"/>
      <c r="AX316" s="81"/>
      <c r="AY316" s="154"/>
      <c r="AZ316" s="81"/>
      <c r="BA316" s="81"/>
      <c r="BB316" s="81"/>
      <c r="BC316" s="81"/>
      <c r="BD316" s="81"/>
      <c r="BE316" s="154"/>
      <c r="BF316" s="81"/>
      <c r="BG316" s="81"/>
      <c r="BH316" s="81"/>
      <c r="BI316" s="159"/>
      <c r="BJ316" s="91"/>
      <c r="BK316" s="159"/>
      <c r="BL316" s="157"/>
      <c r="BM316" s="160"/>
    </row>
    <row r="317" ht="27.0" customHeight="1">
      <c r="A317" s="19"/>
      <c r="B317" s="53"/>
      <c r="C317" s="19"/>
      <c r="D317" s="19"/>
      <c r="E317" s="19"/>
      <c r="F317" s="20"/>
      <c r="G317" s="20"/>
      <c r="H317" s="20"/>
      <c r="I317" s="81"/>
      <c r="J317" s="155"/>
      <c r="K317" s="149"/>
      <c r="L317" s="150"/>
      <c r="M317" s="151"/>
      <c r="N317" s="151"/>
      <c r="O317" s="151"/>
      <c r="P317" s="152"/>
      <c r="Q317" s="81"/>
      <c r="R317" s="81"/>
      <c r="S317" s="81"/>
      <c r="T317" s="156"/>
      <c r="U317" s="156"/>
      <c r="V317" s="156"/>
      <c r="W317" s="156"/>
      <c r="X317" s="156"/>
      <c r="Y317" s="156"/>
      <c r="Z317" s="157"/>
      <c r="AA317" s="156"/>
      <c r="AB317" s="156"/>
      <c r="AC317" s="157"/>
      <c r="AD317" s="156"/>
      <c r="AE317" s="156"/>
      <c r="AF317" s="156"/>
      <c r="AG317" s="156"/>
      <c r="AH317" s="156"/>
      <c r="AI317" s="156"/>
      <c r="AJ317" s="156"/>
      <c r="AK317" s="156"/>
      <c r="AL317" s="157"/>
      <c r="AM317" s="156"/>
      <c r="AN317" s="156"/>
      <c r="AO317" s="158"/>
      <c r="AP317" s="156"/>
      <c r="AQ317" s="156"/>
      <c r="AR317" s="156"/>
      <c r="AS317" s="159"/>
      <c r="AT317" s="81"/>
      <c r="AU317" s="81"/>
      <c r="AV317" s="153"/>
      <c r="AW317" s="81"/>
      <c r="AX317" s="81"/>
      <c r="AY317" s="154"/>
      <c r="AZ317" s="81"/>
      <c r="BA317" s="81"/>
      <c r="BB317" s="81"/>
      <c r="BC317" s="81"/>
      <c r="BD317" s="81"/>
      <c r="BE317" s="154"/>
      <c r="BF317" s="81"/>
      <c r="BG317" s="81"/>
      <c r="BH317" s="81"/>
      <c r="BI317" s="159"/>
      <c r="BJ317" s="91"/>
      <c r="BK317" s="159"/>
      <c r="BL317" s="157"/>
      <c r="BM317" s="160"/>
    </row>
  </sheetData>
  <autoFilter ref="$A$1:$BM$310">
    <sortState ref="A1:BM310">
      <sortCondition ref="L1:L310"/>
    </sortState>
  </autoFilter>
  <conditionalFormatting sqref="A1:BM317">
    <cfRule type="expression" dxfId="0" priority="1">
      <formula>COLUMN()=MOUSE_ROW()</formula>
    </cfRule>
  </conditionalFormatting>
  <dataValidations>
    <dataValidation type="list" allowBlank="1" showErrorMessage="1" sqref="M2:M310">
      <formula1>"SIM,SEM COTAÇÕES"</formula1>
    </dataValidation>
    <dataValidation type="list" allowBlank="1" showErrorMessage="1" sqref="N2:N310">
      <formula1>"SEM"</formula1>
    </dataValidation>
  </dataValidations>
  <hyperlinks>
    <hyperlink r:id="rId1" ref="P2"/>
    <hyperlink r:id="rId2" ref="P3"/>
    <hyperlink r:id="rId3" ref="AY3"/>
    <hyperlink r:id="rId4" ref="BE3"/>
    <hyperlink r:id="rId5" ref="BK3"/>
    <hyperlink r:id="rId6" ref="P4"/>
    <hyperlink r:id="rId7" ref="AY4"/>
    <hyperlink r:id="rId8" ref="BE4"/>
    <hyperlink r:id="rId9" ref="BK4"/>
    <hyperlink r:id="rId10" ref="P5"/>
    <hyperlink r:id="rId11" ref="AY5"/>
    <hyperlink r:id="rId12" ref="BE5"/>
    <hyperlink r:id="rId13" ref="BK5"/>
    <hyperlink r:id="rId14" ref="P6"/>
    <hyperlink r:id="rId15" ref="AY6"/>
    <hyperlink r:id="rId16" ref="BE6"/>
    <hyperlink r:id="rId17" ref="BK6"/>
    <hyperlink r:id="rId18" ref="P7"/>
    <hyperlink r:id="rId19" ref="BE7"/>
    <hyperlink r:id="rId20" ref="BK7"/>
    <hyperlink r:id="rId21" ref="P8"/>
    <hyperlink r:id="rId22" ref="AY8"/>
    <hyperlink r:id="rId23" ref="BE8"/>
    <hyperlink r:id="rId24" ref="BK8"/>
    <hyperlink r:id="rId25" ref="P9"/>
    <hyperlink r:id="rId26" ref="AY9"/>
    <hyperlink r:id="rId27" ref="BE9"/>
    <hyperlink r:id="rId28" ref="BK9"/>
    <hyperlink r:id="rId29" ref="P10"/>
    <hyperlink r:id="rId30" ref="AY10"/>
    <hyperlink r:id="rId31" ref="BE10"/>
    <hyperlink r:id="rId32" ref="P11"/>
    <hyperlink r:id="rId33" ref="P12"/>
    <hyperlink r:id="rId34" ref="AY12"/>
    <hyperlink r:id="rId35" ref="BE12"/>
    <hyperlink r:id="rId36" ref="BK12"/>
    <hyperlink r:id="rId37" ref="P13"/>
    <hyperlink r:id="rId38" ref="AY13"/>
    <hyperlink r:id="rId39" ref="BE13"/>
    <hyperlink r:id="rId40" ref="P14"/>
    <hyperlink r:id="rId41" ref="AY14"/>
    <hyperlink r:id="rId42" ref="BE14"/>
    <hyperlink r:id="rId43" ref="BK14"/>
    <hyperlink r:id="rId44" ref="P15"/>
    <hyperlink r:id="rId45" ref="AY15"/>
    <hyperlink r:id="rId46" ref="BE15"/>
    <hyperlink r:id="rId47" ref="BK15"/>
    <hyperlink r:id="rId48" ref="P16"/>
    <hyperlink r:id="rId49" ref="AY16"/>
    <hyperlink r:id="rId50" ref="BE16"/>
    <hyperlink r:id="rId51" ref="P17"/>
    <hyperlink r:id="rId52" ref="AY17"/>
    <hyperlink r:id="rId53" ref="P18"/>
    <hyperlink r:id="rId54" ref="AY18"/>
    <hyperlink r:id="rId55" ref="BE18"/>
    <hyperlink r:id="rId56" ref="BK18"/>
    <hyperlink r:id="rId57" ref="P19"/>
    <hyperlink r:id="rId58" ref="AY19"/>
    <hyperlink r:id="rId59" ref="BE19"/>
    <hyperlink r:id="rId60" ref="BK19"/>
    <hyperlink r:id="rId61" ref="P20"/>
    <hyperlink r:id="rId62" ref="BE20"/>
    <hyperlink r:id="rId63" ref="BK20"/>
    <hyperlink r:id="rId64" ref="P21"/>
    <hyperlink r:id="rId65" ref="AY21"/>
    <hyperlink r:id="rId66" ref="BE21"/>
    <hyperlink r:id="rId67" ref="BK21"/>
    <hyperlink r:id="rId68" ref="P22"/>
    <hyperlink r:id="rId69" ref="AY22"/>
    <hyperlink r:id="rId70" ref="P23"/>
    <hyperlink r:id="rId71" ref="AY23"/>
    <hyperlink r:id="rId72" ref="BE23"/>
    <hyperlink r:id="rId73" ref="BK23"/>
    <hyperlink r:id="rId74" ref="P24"/>
    <hyperlink r:id="rId75" ref="AY24"/>
    <hyperlink r:id="rId76" ref="BE24"/>
    <hyperlink r:id="rId77" ref="P25"/>
    <hyperlink r:id="rId78" ref="AY25"/>
    <hyperlink r:id="rId79" ref="BE25"/>
    <hyperlink r:id="rId80" ref="P26"/>
    <hyperlink r:id="rId81" ref="AY26"/>
    <hyperlink r:id="rId82" ref="BE26"/>
    <hyperlink r:id="rId83" ref="BK26"/>
    <hyperlink r:id="rId84" ref="P27"/>
    <hyperlink r:id="rId85" ref="AY27"/>
    <hyperlink r:id="rId86" ref="BE27"/>
    <hyperlink r:id="rId87" ref="BK27"/>
    <hyperlink r:id="rId88" ref="P28"/>
    <hyperlink r:id="rId89" ref="AY28"/>
    <hyperlink r:id="rId90" ref="BE28"/>
    <hyperlink r:id="rId91" ref="BK28"/>
    <hyperlink r:id="rId92" ref="P29"/>
    <hyperlink r:id="rId93" location="gid=1397891914" ref="BE29"/>
    <hyperlink r:id="rId94" ref="P30"/>
    <hyperlink r:id="rId95" ref="AY30"/>
    <hyperlink r:id="rId96" ref="BE30"/>
    <hyperlink r:id="rId97" ref="BK30"/>
    <hyperlink r:id="rId98" ref="P31"/>
    <hyperlink r:id="rId99" ref="AY31"/>
    <hyperlink r:id="rId100" ref="P32"/>
    <hyperlink r:id="rId101" ref="AY32"/>
    <hyperlink r:id="rId102" ref="P33"/>
    <hyperlink r:id="rId103" ref="AY33"/>
    <hyperlink r:id="rId104" ref="P34"/>
    <hyperlink r:id="rId105" ref="AY34"/>
    <hyperlink r:id="rId106" ref="BE34"/>
    <hyperlink r:id="rId107" ref="BK34"/>
    <hyperlink r:id="rId108" ref="P35"/>
    <hyperlink r:id="rId109" ref="AY35"/>
    <hyperlink r:id="rId110" ref="BK35"/>
    <hyperlink r:id="rId111" ref="J36"/>
    <hyperlink r:id="rId112" ref="P36"/>
    <hyperlink r:id="rId113" ref="AY36"/>
    <hyperlink r:id="rId114" ref="BE36"/>
    <hyperlink r:id="rId115" ref="BK36"/>
    <hyperlink r:id="rId116" ref="P37"/>
    <hyperlink r:id="rId117" ref="AY37"/>
    <hyperlink r:id="rId118" ref="BE37"/>
    <hyperlink r:id="rId119" ref="BK37"/>
    <hyperlink r:id="rId120" ref="P38"/>
    <hyperlink r:id="rId121" ref="AY38"/>
    <hyperlink r:id="rId122" ref="BE38"/>
    <hyperlink r:id="rId123" ref="BK38"/>
    <hyperlink r:id="rId124" ref="P39"/>
    <hyperlink r:id="rId125" ref="AY39"/>
    <hyperlink r:id="rId126" ref="BE39"/>
    <hyperlink r:id="rId127" ref="BK39"/>
    <hyperlink r:id="rId128" ref="P40"/>
    <hyperlink r:id="rId129" ref="AY40"/>
    <hyperlink r:id="rId130" ref="BE40"/>
    <hyperlink r:id="rId131" ref="BK40"/>
    <hyperlink r:id="rId132" ref="P41"/>
    <hyperlink r:id="rId133" ref="AY41"/>
    <hyperlink r:id="rId134" ref="BE41"/>
    <hyperlink r:id="rId135" ref="BK41"/>
    <hyperlink r:id="rId136" ref="P42"/>
    <hyperlink r:id="rId137" ref="AY42"/>
    <hyperlink r:id="rId138" ref="BE42"/>
    <hyperlink r:id="rId139" ref="BK42"/>
    <hyperlink r:id="rId140" ref="P43"/>
    <hyperlink r:id="rId141" ref="AY43"/>
    <hyperlink r:id="rId142" ref="BE43"/>
    <hyperlink r:id="rId143" ref="BK43"/>
    <hyperlink r:id="rId144" ref="P44"/>
    <hyperlink r:id="rId145" ref="AY44"/>
    <hyperlink r:id="rId146" ref="BE44"/>
    <hyperlink r:id="rId147" ref="P45"/>
    <hyperlink r:id="rId148" ref="AY45"/>
    <hyperlink r:id="rId149" ref="BE45"/>
    <hyperlink r:id="rId150" ref="BK45"/>
    <hyperlink r:id="rId151" ref="P46"/>
    <hyperlink r:id="rId152" ref="AY46"/>
    <hyperlink r:id="rId153" ref="BE46"/>
    <hyperlink r:id="rId154" location="gid=1397891914" ref="BK46"/>
    <hyperlink r:id="rId155" ref="P47"/>
    <hyperlink r:id="rId156" ref="AY47"/>
    <hyperlink r:id="rId157" ref="BE47"/>
    <hyperlink r:id="rId158" ref="BK47"/>
    <hyperlink r:id="rId159" ref="P48"/>
    <hyperlink r:id="rId160" ref="AY48"/>
    <hyperlink r:id="rId161" ref="BE48"/>
    <hyperlink r:id="rId162" ref="BK48"/>
    <hyperlink r:id="rId163" ref="P49"/>
    <hyperlink r:id="rId164" ref="AY49"/>
    <hyperlink r:id="rId165" ref="BE49"/>
    <hyperlink r:id="rId166" ref="BK49"/>
    <hyperlink r:id="rId167" ref="P50"/>
    <hyperlink r:id="rId168" ref="AY50"/>
    <hyperlink r:id="rId169" ref="BE50"/>
    <hyperlink r:id="rId170" ref="BK50"/>
    <hyperlink r:id="rId171" ref="P51"/>
    <hyperlink r:id="rId172" ref="AY51"/>
    <hyperlink r:id="rId173" ref="BE51"/>
    <hyperlink r:id="rId174" ref="BK51"/>
    <hyperlink r:id="rId175" ref="P52"/>
    <hyperlink r:id="rId176" ref="AY52"/>
    <hyperlink r:id="rId177" ref="BE52"/>
    <hyperlink r:id="rId178" ref="BK52"/>
    <hyperlink r:id="rId179" ref="P53"/>
    <hyperlink r:id="rId180" ref="AY53"/>
    <hyperlink r:id="rId181" ref="BE53"/>
    <hyperlink r:id="rId182" ref="BK53"/>
    <hyperlink r:id="rId183" ref="P54"/>
    <hyperlink r:id="rId184" ref="AY54"/>
    <hyperlink r:id="rId185" ref="BE54"/>
    <hyperlink r:id="rId186" ref="BK54"/>
    <hyperlink r:id="rId187" ref="P55"/>
    <hyperlink r:id="rId188" location="gid=1397891914" ref="AY55"/>
    <hyperlink r:id="rId189" ref="BE55"/>
    <hyperlink r:id="rId190" ref="BK55"/>
    <hyperlink r:id="rId191" ref="P56"/>
    <hyperlink r:id="rId192" ref="AY56"/>
    <hyperlink r:id="rId193" ref="BE56"/>
    <hyperlink r:id="rId194" ref="BK56"/>
    <hyperlink r:id="rId195" ref="P57"/>
    <hyperlink r:id="rId196" ref="AY57"/>
    <hyperlink r:id="rId197" ref="BE57"/>
    <hyperlink r:id="rId198" ref="BK57"/>
    <hyperlink r:id="rId199" ref="P58"/>
    <hyperlink r:id="rId200" ref="AY58"/>
    <hyperlink r:id="rId201" ref="BE58"/>
    <hyperlink r:id="rId202" ref="BK58"/>
    <hyperlink r:id="rId203" ref="P59"/>
    <hyperlink r:id="rId204" ref="AY59"/>
    <hyperlink r:id="rId205" ref="BE59"/>
    <hyperlink r:id="rId206" ref="BK59"/>
    <hyperlink r:id="rId207" ref="P60"/>
    <hyperlink r:id="rId208" ref="AY60"/>
    <hyperlink r:id="rId209" ref="BE60"/>
    <hyperlink r:id="rId210" ref="BK60"/>
    <hyperlink r:id="rId211" ref="P61"/>
    <hyperlink r:id="rId212" ref="AY61"/>
    <hyperlink r:id="rId213" ref="BE61"/>
    <hyperlink r:id="rId214" ref="BK61"/>
    <hyperlink r:id="rId215" ref="P62"/>
    <hyperlink r:id="rId216" ref="AY62"/>
    <hyperlink r:id="rId217" ref="BE62"/>
    <hyperlink r:id="rId218" ref="BK62"/>
    <hyperlink r:id="rId219" ref="P63"/>
    <hyperlink r:id="rId220" ref="AY63"/>
    <hyperlink r:id="rId221" ref="BE63"/>
    <hyperlink r:id="rId222" ref="P64"/>
    <hyperlink r:id="rId223" ref="AY64"/>
    <hyperlink r:id="rId224" ref="BE64"/>
    <hyperlink r:id="rId225" ref="BK64"/>
    <hyperlink r:id="rId226" ref="P65"/>
    <hyperlink r:id="rId227" ref="AY65"/>
    <hyperlink r:id="rId228" ref="P66"/>
    <hyperlink r:id="rId229" ref="AY66"/>
    <hyperlink r:id="rId230" ref="BE66"/>
    <hyperlink r:id="rId231" ref="P67"/>
    <hyperlink r:id="rId232" ref="AY67"/>
    <hyperlink r:id="rId233" ref="BE67"/>
    <hyperlink r:id="rId234" ref="BK67"/>
    <hyperlink r:id="rId235" ref="P68"/>
    <hyperlink r:id="rId236" ref="AY68"/>
    <hyperlink r:id="rId237" ref="BE68"/>
    <hyperlink r:id="rId238" ref="BK68"/>
    <hyperlink r:id="rId239" ref="P69"/>
    <hyperlink r:id="rId240" ref="AY69"/>
    <hyperlink r:id="rId241" ref="BE69"/>
    <hyperlink r:id="rId242" ref="BK69"/>
    <hyperlink r:id="rId243" ref="P70"/>
    <hyperlink r:id="rId244" ref="AY70"/>
    <hyperlink r:id="rId245" ref="BE70"/>
    <hyperlink r:id="rId246" ref="BK70"/>
    <hyperlink r:id="rId247" ref="P71"/>
    <hyperlink r:id="rId248" ref="AY71"/>
    <hyperlink r:id="rId249" ref="BE71"/>
    <hyperlink r:id="rId250" ref="P72"/>
    <hyperlink r:id="rId251" ref="AY72"/>
    <hyperlink r:id="rId252" ref="BE72"/>
    <hyperlink r:id="rId253" ref="BK72"/>
    <hyperlink r:id="rId254" ref="P73"/>
    <hyperlink r:id="rId255" ref="AY73"/>
    <hyperlink r:id="rId256" ref="BE73"/>
    <hyperlink r:id="rId257" ref="BK73"/>
    <hyperlink r:id="rId258" ref="P74"/>
    <hyperlink r:id="rId259" ref="AY74"/>
    <hyperlink r:id="rId260" ref="BE74"/>
    <hyperlink r:id="rId261" ref="BK74"/>
    <hyperlink r:id="rId262" ref="P75"/>
    <hyperlink r:id="rId263" ref="AY75"/>
    <hyperlink r:id="rId264" ref="BE75"/>
    <hyperlink r:id="rId265" ref="BK75"/>
    <hyperlink r:id="rId266" ref="P76"/>
    <hyperlink r:id="rId267" ref="AY76"/>
    <hyperlink r:id="rId268" ref="BE76"/>
    <hyperlink r:id="rId269" ref="P77"/>
    <hyperlink r:id="rId270" ref="AY77"/>
    <hyperlink r:id="rId271" ref="BE77"/>
    <hyperlink r:id="rId272" ref="BK77"/>
    <hyperlink r:id="rId273" ref="P78"/>
    <hyperlink r:id="rId274" ref="AY78"/>
    <hyperlink r:id="rId275" ref="P79"/>
    <hyperlink r:id="rId276" ref="AY79"/>
    <hyperlink r:id="rId277" ref="BE79"/>
    <hyperlink r:id="rId278" ref="BK79"/>
    <hyperlink r:id="rId279" ref="P80"/>
    <hyperlink r:id="rId280" ref="AY80"/>
    <hyperlink r:id="rId281" ref="P81"/>
    <hyperlink r:id="rId282" ref="AY81"/>
    <hyperlink r:id="rId283" ref="BE81"/>
    <hyperlink r:id="rId284" ref="BK81"/>
    <hyperlink r:id="rId285" ref="P82"/>
    <hyperlink r:id="rId286" ref="AY82"/>
    <hyperlink r:id="rId287" ref="BE82"/>
    <hyperlink r:id="rId288" ref="BK82"/>
    <hyperlink r:id="rId289" ref="P83"/>
    <hyperlink r:id="rId290" ref="AY83"/>
    <hyperlink r:id="rId291" ref="BE83"/>
    <hyperlink r:id="rId292" ref="BK83"/>
    <hyperlink r:id="rId293" ref="P84"/>
    <hyperlink r:id="rId294" ref="AY84"/>
    <hyperlink r:id="rId295" ref="BE84"/>
    <hyperlink r:id="rId296" ref="BK84"/>
    <hyperlink r:id="rId297" ref="P85"/>
    <hyperlink r:id="rId298" ref="AY85"/>
    <hyperlink r:id="rId299" ref="BE85"/>
    <hyperlink r:id="rId300" ref="BK85"/>
    <hyperlink r:id="rId301" ref="P86"/>
    <hyperlink r:id="rId302" ref="AY86"/>
    <hyperlink r:id="rId303" ref="BE86"/>
    <hyperlink r:id="rId304" ref="BK86"/>
    <hyperlink r:id="rId305" ref="P87"/>
    <hyperlink r:id="rId306" ref="AY87"/>
    <hyperlink r:id="rId307" ref="BE87"/>
    <hyperlink r:id="rId308" ref="BK87"/>
    <hyperlink r:id="rId309" ref="P88"/>
    <hyperlink r:id="rId310" ref="AY88"/>
    <hyperlink r:id="rId311" ref="BE88"/>
    <hyperlink r:id="rId312" ref="BK88"/>
    <hyperlink r:id="rId313" ref="P89"/>
    <hyperlink r:id="rId314" ref="AY89"/>
    <hyperlink r:id="rId315" ref="BE89"/>
    <hyperlink r:id="rId316" ref="BK89"/>
    <hyperlink r:id="rId317" ref="P90"/>
    <hyperlink r:id="rId318" ref="AY90"/>
    <hyperlink r:id="rId319" ref="BE90"/>
    <hyperlink r:id="rId320" ref="BK90"/>
    <hyperlink r:id="rId321" ref="P91"/>
    <hyperlink r:id="rId322" ref="AY91"/>
    <hyperlink r:id="rId323" ref="BE91"/>
    <hyperlink r:id="rId324" ref="BK91"/>
    <hyperlink r:id="rId325" ref="P92"/>
    <hyperlink r:id="rId326" ref="AY92"/>
    <hyperlink r:id="rId327" ref="BE92"/>
    <hyperlink r:id="rId328" ref="BK92"/>
    <hyperlink r:id="rId329" ref="P93"/>
    <hyperlink r:id="rId330" ref="AY93"/>
    <hyperlink r:id="rId331" ref="BE93"/>
    <hyperlink r:id="rId332" ref="BK93"/>
    <hyperlink r:id="rId333" ref="P94"/>
    <hyperlink r:id="rId334" ref="AY94"/>
    <hyperlink r:id="rId335" ref="BE94"/>
    <hyperlink r:id="rId336" ref="BK94"/>
    <hyperlink r:id="rId337" ref="P95"/>
    <hyperlink r:id="rId338" ref="AY95"/>
    <hyperlink r:id="rId339" ref="BE95"/>
    <hyperlink r:id="rId340" ref="BK95"/>
    <hyperlink r:id="rId341" ref="P96"/>
    <hyperlink r:id="rId342" ref="AY96"/>
    <hyperlink r:id="rId343" ref="BE96"/>
    <hyperlink r:id="rId344" ref="BK96"/>
    <hyperlink r:id="rId345" ref="P97"/>
    <hyperlink r:id="rId346" ref="AY97"/>
    <hyperlink r:id="rId347" ref="BE97"/>
    <hyperlink r:id="rId348" ref="BK97"/>
    <hyperlink r:id="rId349" ref="P98"/>
    <hyperlink r:id="rId350" ref="AY98"/>
    <hyperlink r:id="rId351" ref="BE98"/>
    <hyperlink r:id="rId352" ref="BK98"/>
    <hyperlink r:id="rId353" ref="P99"/>
    <hyperlink r:id="rId354" ref="AY99"/>
    <hyperlink r:id="rId355" ref="BE99"/>
    <hyperlink r:id="rId356" ref="BK99"/>
    <hyperlink r:id="rId357" ref="P100"/>
    <hyperlink r:id="rId358" ref="AY100"/>
    <hyperlink r:id="rId359" ref="BE100"/>
    <hyperlink r:id="rId360" ref="BK100"/>
    <hyperlink r:id="rId361" ref="P101"/>
    <hyperlink r:id="rId362" ref="AY101"/>
    <hyperlink r:id="rId363" ref="BE101"/>
    <hyperlink r:id="rId364" ref="BK101"/>
    <hyperlink r:id="rId365" ref="P102"/>
    <hyperlink r:id="rId366" ref="AY102"/>
    <hyperlink r:id="rId367" ref="BE102"/>
    <hyperlink r:id="rId368" ref="BK102"/>
    <hyperlink r:id="rId369" ref="P103"/>
    <hyperlink r:id="rId370" ref="T103"/>
    <hyperlink r:id="rId371" ref="AY103"/>
    <hyperlink r:id="rId372" ref="BE103"/>
    <hyperlink r:id="rId373" ref="P104"/>
    <hyperlink r:id="rId374" ref="AY104"/>
    <hyperlink r:id="rId375" ref="BE104"/>
    <hyperlink r:id="rId376" ref="BK104"/>
    <hyperlink r:id="rId377" ref="P105"/>
    <hyperlink r:id="rId378" ref="AY105"/>
    <hyperlink r:id="rId379" ref="BE105"/>
    <hyperlink r:id="rId380" ref="BK105"/>
    <hyperlink r:id="rId381" ref="P106"/>
    <hyperlink r:id="rId382" ref="AY106"/>
    <hyperlink r:id="rId383" ref="BE106"/>
    <hyperlink r:id="rId384" ref="BK106"/>
    <hyperlink r:id="rId385" ref="P107"/>
    <hyperlink r:id="rId386" ref="AY107"/>
    <hyperlink r:id="rId387" ref="BE107"/>
    <hyperlink r:id="rId388" ref="BK107"/>
    <hyperlink r:id="rId389" ref="P108"/>
    <hyperlink r:id="rId390" ref="AY108"/>
    <hyperlink r:id="rId391" ref="BE108"/>
    <hyperlink r:id="rId392" ref="BK108"/>
    <hyperlink r:id="rId393" ref="P109"/>
    <hyperlink r:id="rId394" ref="AY109"/>
    <hyperlink r:id="rId395" ref="BE109"/>
    <hyperlink r:id="rId396" ref="BK109"/>
    <hyperlink r:id="rId397" ref="P110"/>
    <hyperlink r:id="rId398" ref="AY110"/>
    <hyperlink r:id="rId399" ref="BE110"/>
    <hyperlink r:id="rId400" ref="BK110"/>
    <hyperlink r:id="rId401" ref="P111"/>
    <hyperlink r:id="rId402" ref="AY111"/>
    <hyperlink r:id="rId403" ref="BE111"/>
    <hyperlink r:id="rId404" ref="BK111"/>
    <hyperlink r:id="rId405" ref="P112"/>
    <hyperlink r:id="rId406" ref="AY112"/>
    <hyperlink r:id="rId407" ref="BE112"/>
    <hyperlink r:id="rId408" ref="BK112"/>
    <hyperlink r:id="rId409" ref="P113"/>
    <hyperlink r:id="rId410" ref="AY113"/>
    <hyperlink r:id="rId411" ref="BE113"/>
    <hyperlink r:id="rId412" ref="BK113"/>
    <hyperlink r:id="rId413" ref="P114"/>
    <hyperlink r:id="rId414" ref="AY114"/>
    <hyperlink r:id="rId415" ref="BE114"/>
    <hyperlink r:id="rId416" ref="BK114"/>
    <hyperlink r:id="rId417" ref="P115"/>
    <hyperlink r:id="rId418" ref="AY115"/>
    <hyperlink r:id="rId419" ref="BE115"/>
    <hyperlink r:id="rId420" ref="BK115"/>
    <hyperlink r:id="rId421" ref="P116"/>
    <hyperlink r:id="rId422" ref="AY116"/>
    <hyperlink r:id="rId423" ref="BE116"/>
    <hyperlink r:id="rId424" ref="P117"/>
    <hyperlink r:id="rId425" ref="AY117"/>
    <hyperlink r:id="rId426" ref="BE117"/>
    <hyperlink r:id="rId427" ref="BK117"/>
    <hyperlink r:id="rId428" ref="P118"/>
    <hyperlink r:id="rId429" ref="AY118"/>
    <hyperlink r:id="rId430" ref="P119"/>
    <hyperlink r:id="rId431" ref="AY119"/>
    <hyperlink r:id="rId432" ref="BE119"/>
    <hyperlink r:id="rId433" ref="BK119"/>
    <hyperlink r:id="rId434" ref="P120"/>
    <hyperlink r:id="rId435" ref="AY120"/>
    <hyperlink r:id="rId436" ref="BE120"/>
    <hyperlink r:id="rId437" ref="P121"/>
    <hyperlink r:id="rId438" ref="AY121"/>
    <hyperlink r:id="rId439" ref="BE121"/>
    <hyperlink r:id="rId440" ref="BK121"/>
    <hyperlink r:id="rId441" ref="P122"/>
    <hyperlink r:id="rId442" ref="AY122"/>
    <hyperlink r:id="rId443" ref="BE122"/>
    <hyperlink r:id="rId444" ref="BK122"/>
    <hyperlink r:id="rId445" ref="P123"/>
    <hyperlink r:id="rId446" ref="AY123"/>
    <hyperlink r:id="rId447" ref="BE123"/>
    <hyperlink r:id="rId448" ref="BK123"/>
    <hyperlink r:id="rId449" ref="P124"/>
    <hyperlink r:id="rId450" ref="AY124"/>
    <hyperlink r:id="rId451" ref="BE124"/>
    <hyperlink r:id="rId452" ref="BK124"/>
    <hyperlink r:id="rId453" ref="P125"/>
    <hyperlink r:id="rId454" ref="AY125"/>
    <hyperlink r:id="rId455" ref="BE125"/>
    <hyperlink r:id="rId456" ref="BK125"/>
    <hyperlink r:id="rId457" ref="P126"/>
    <hyperlink r:id="rId458" ref="AY126"/>
    <hyperlink r:id="rId459" ref="BE126"/>
    <hyperlink r:id="rId460" ref="BK126"/>
    <hyperlink r:id="rId461" ref="P127"/>
    <hyperlink r:id="rId462" ref="AY127"/>
    <hyperlink r:id="rId463" ref="BE127"/>
    <hyperlink r:id="rId464" ref="BK127"/>
    <hyperlink r:id="rId465" ref="P128"/>
    <hyperlink r:id="rId466" ref="AY128"/>
    <hyperlink r:id="rId467" ref="BE128"/>
    <hyperlink r:id="rId468" ref="P129"/>
    <hyperlink r:id="rId469" ref="AY129"/>
    <hyperlink r:id="rId470" ref="BE129"/>
    <hyperlink r:id="rId471" ref="BK129"/>
    <hyperlink r:id="rId472" ref="P130"/>
    <hyperlink r:id="rId473" ref="AY130"/>
    <hyperlink r:id="rId474" ref="BE130"/>
    <hyperlink r:id="rId475" ref="BK130"/>
    <hyperlink r:id="rId476" ref="P131"/>
    <hyperlink r:id="rId477" ref="AY131"/>
    <hyperlink r:id="rId478" ref="BE131"/>
    <hyperlink r:id="rId479" ref="BK131"/>
    <hyperlink r:id="rId480" ref="P132"/>
    <hyperlink r:id="rId481" ref="AY132"/>
    <hyperlink r:id="rId482" ref="BE132"/>
    <hyperlink r:id="rId483" ref="BK132"/>
    <hyperlink r:id="rId484" ref="P133"/>
    <hyperlink r:id="rId485" ref="AY133"/>
    <hyperlink r:id="rId486" ref="BE133"/>
    <hyperlink r:id="rId487" ref="BK133"/>
    <hyperlink r:id="rId488" ref="P134"/>
    <hyperlink r:id="rId489" ref="AY134"/>
    <hyperlink r:id="rId490" ref="BE134"/>
    <hyperlink r:id="rId491" ref="BK134"/>
    <hyperlink r:id="rId492" ref="P135"/>
    <hyperlink r:id="rId493" ref="AY135"/>
    <hyperlink r:id="rId494" ref="P136"/>
    <hyperlink r:id="rId495" ref="AY136"/>
    <hyperlink r:id="rId496" ref="BE136"/>
    <hyperlink r:id="rId497" ref="BK136"/>
    <hyperlink r:id="rId498" ref="P137"/>
    <hyperlink r:id="rId499" ref="P138"/>
    <hyperlink r:id="rId500" ref="AY138"/>
    <hyperlink r:id="rId501" ref="P139"/>
    <hyperlink r:id="rId502" ref="AY139"/>
    <hyperlink r:id="rId503" ref="BE139"/>
    <hyperlink r:id="rId504" ref="P140"/>
    <hyperlink r:id="rId505" ref="P141"/>
    <hyperlink r:id="rId506" ref="AY141"/>
    <hyperlink r:id="rId507" ref="BE141"/>
    <hyperlink r:id="rId508" ref="BK141"/>
    <hyperlink r:id="rId509" ref="P142"/>
    <hyperlink r:id="rId510" ref="AY142"/>
    <hyperlink r:id="rId511" ref="BE142"/>
    <hyperlink r:id="rId512" ref="BK142"/>
    <hyperlink r:id="rId513" ref="P143"/>
    <hyperlink r:id="rId514" ref="AY143"/>
    <hyperlink r:id="rId515" ref="BE143"/>
    <hyperlink r:id="rId516" ref="BK143"/>
    <hyperlink r:id="rId517" ref="P144"/>
    <hyperlink r:id="rId518" ref="P145"/>
    <hyperlink r:id="rId519" ref="AY145"/>
    <hyperlink r:id="rId520" ref="P146"/>
    <hyperlink r:id="rId521" ref="AY146"/>
    <hyperlink r:id="rId522" ref="BE146"/>
    <hyperlink r:id="rId523" ref="BK146"/>
    <hyperlink r:id="rId524" ref="P147"/>
    <hyperlink r:id="rId525" ref="AY147"/>
    <hyperlink r:id="rId526" ref="P148"/>
    <hyperlink r:id="rId527" ref="AY148"/>
    <hyperlink r:id="rId528" ref="P149"/>
    <hyperlink r:id="rId529" ref="AY149"/>
    <hyperlink r:id="rId530" ref="P150"/>
    <hyperlink r:id="rId531" ref="AY150"/>
    <hyperlink r:id="rId532" ref="BE150"/>
    <hyperlink r:id="rId533" ref="BK150"/>
    <hyperlink r:id="rId534" ref="P151"/>
    <hyperlink r:id="rId535" ref="AY151"/>
    <hyperlink r:id="rId536" ref="P152"/>
    <hyperlink r:id="rId537" ref="AY152"/>
    <hyperlink r:id="rId538" ref="P153"/>
    <hyperlink r:id="rId539" ref="AY153"/>
    <hyperlink r:id="rId540" ref="BE153"/>
    <hyperlink r:id="rId541" ref="P154"/>
    <hyperlink r:id="rId542" ref="AY154"/>
    <hyperlink r:id="rId543" ref="BE154"/>
    <hyperlink r:id="rId544" ref="BK154"/>
    <hyperlink r:id="rId545" ref="P155"/>
    <hyperlink r:id="rId546" ref="AY155"/>
    <hyperlink r:id="rId547" ref="BE155"/>
    <hyperlink r:id="rId548" ref="BK155"/>
    <hyperlink r:id="rId549" ref="P156"/>
    <hyperlink r:id="rId550" ref="P157"/>
    <hyperlink r:id="rId551" ref="AY157"/>
    <hyperlink r:id="rId552" ref="BE157"/>
    <hyperlink r:id="rId553" ref="P158"/>
    <hyperlink r:id="rId554" ref="AY158"/>
    <hyperlink r:id="rId555" ref="BE158"/>
    <hyperlink r:id="rId556" ref="P159"/>
    <hyperlink r:id="rId557" ref="AY159"/>
    <hyperlink r:id="rId558" ref="BE159"/>
    <hyperlink r:id="rId559" ref="BK159"/>
    <hyperlink r:id="rId560" ref="P160"/>
    <hyperlink r:id="rId561" ref="AY160"/>
    <hyperlink r:id="rId562" ref="BE160"/>
    <hyperlink r:id="rId563" ref="P161"/>
    <hyperlink r:id="rId564" ref="AY161"/>
    <hyperlink r:id="rId565" ref="BE161"/>
    <hyperlink r:id="rId566" ref="BK161"/>
    <hyperlink r:id="rId567" ref="P162"/>
    <hyperlink r:id="rId568" ref="AY162"/>
    <hyperlink r:id="rId569" ref="BE162"/>
    <hyperlink r:id="rId570" ref="BK162"/>
    <hyperlink r:id="rId571" ref="P163"/>
    <hyperlink r:id="rId572" ref="AY163"/>
    <hyperlink r:id="rId573" ref="BE163"/>
    <hyperlink r:id="rId574" ref="BK163"/>
    <hyperlink r:id="rId575" ref="P164"/>
    <hyperlink r:id="rId576" ref="AY164"/>
    <hyperlink r:id="rId577" ref="BE164"/>
    <hyperlink r:id="rId578" ref="BK164"/>
    <hyperlink r:id="rId579" ref="P165"/>
    <hyperlink r:id="rId580" ref="P166"/>
    <hyperlink r:id="rId581" ref="AY166"/>
    <hyperlink r:id="rId582" ref="P167"/>
    <hyperlink r:id="rId583" ref="AY167"/>
    <hyperlink r:id="rId584" ref="BE167"/>
    <hyperlink r:id="rId585" ref="BK167"/>
    <hyperlink r:id="rId586" ref="P168"/>
    <hyperlink r:id="rId587" ref="AY168"/>
    <hyperlink r:id="rId588" ref="BE168"/>
    <hyperlink r:id="rId589" ref="BK168"/>
    <hyperlink r:id="rId590" ref="P169"/>
    <hyperlink r:id="rId591" ref="AY169"/>
    <hyperlink r:id="rId592" ref="BE169"/>
    <hyperlink r:id="rId593" ref="BK169"/>
    <hyperlink r:id="rId594" ref="P170"/>
    <hyperlink r:id="rId595" ref="AY170"/>
    <hyperlink r:id="rId596" ref="BE170"/>
    <hyperlink r:id="rId597" ref="BK170"/>
    <hyperlink r:id="rId598" ref="P171"/>
    <hyperlink r:id="rId599" ref="AY171"/>
    <hyperlink r:id="rId600" ref="BE171"/>
    <hyperlink r:id="rId601" ref="BK171"/>
    <hyperlink r:id="rId602" ref="P172"/>
    <hyperlink r:id="rId603" ref="AY172"/>
    <hyperlink r:id="rId604" ref="BE172"/>
    <hyperlink r:id="rId605" ref="BK172"/>
    <hyperlink r:id="rId606" ref="P173"/>
    <hyperlink r:id="rId607" ref="AY173"/>
    <hyperlink r:id="rId608" ref="P174"/>
    <hyperlink r:id="rId609" ref="AY174"/>
    <hyperlink r:id="rId610" ref="BE174"/>
    <hyperlink r:id="rId611" ref="BK174"/>
    <hyperlink r:id="rId612" ref="P175"/>
    <hyperlink r:id="rId613" ref="AY175"/>
    <hyperlink r:id="rId614" ref="BE175"/>
    <hyperlink r:id="rId615" ref="BK175"/>
    <hyperlink r:id="rId616" ref="P176"/>
    <hyperlink r:id="rId617" ref="AY176"/>
    <hyperlink r:id="rId618" ref="BE176"/>
    <hyperlink r:id="rId619" ref="BK176"/>
    <hyperlink r:id="rId620" ref="P177"/>
    <hyperlink r:id="rId621" ref="AY177"/>
    <hyperlink r:id="rId622" ref="BE177"/>
    <hyperlink r:id="rId623" ref="BK177"/>
    <hyperlink r:id="rId624" ref="P178"/>
    <hyperlink r:id="rId625" ref="AY178"/>
    <hyperlink r:id="rId626" ref="BE178"/>
    <hyperlink r:id="rId627" ref="BK178"/>
    <hyperlink r:id="rId628" ref="P179"/>
    <hyperlink r:id="rId629" ref="AY179"/>
    <hyperlink r:id="rId630" ref="BE179"/>
    <hyperlink r:id="rId631" ref="BK179"/>
    <hyperlink r:id="rId632" ref="P180"/>
    <hyperlink r:id="rId633" ref="AY180"/>
    <hyperlink r:id="rId634" ref="BE180"/>
    <hyperlink r:id="rId635" ref="BK180"/>
    <hyperlink r:id="rId636" ref="P181"/>
    <hyperlink r:id="rId637" ref="AY181"/>
    <hyperlink r:id="rId638" ref="BE181"/>
    <hyperlink r:id="rId639" ref="BK181"/>
    <hyperlink r:id="rId640" ref="P182"/>
    <hyperlink r:id="rId641" ref="AY182"/>
    <hyperlink r:id="rId642" ref="BE182"/>
    <hyperlink r:id="rId643" ref="BK182"/>
    <hyperlink r:id="rId644" ref="P183"/>
    <hyperlink r:id="rId645" ref="AY183"/>
    <hyperlink r:id="rId646" ref="BE183"/>
    <hyperlink r:id="rId647" ref="BK183"/>
    <hyperlink r:id="rId648" ref="P184"/>
    <hyperlink r:id="rId649" ref="AY184"/>
    <hyperlink r:id="rId650" ref="BE184"/>
    <hyperlink r:id="rId651" ref="BK184"/>
    <hyperlink r:id="rId652" ref="P185"/>
    <hyperlink r:id="rId653" ref="AY185"/>
    <hyperlink r:id="rId654" ref="BE185"/>
    <hyperlink r:id="rId655" ref="BK185"/>
    <hyperlink r:id="rId656" ref="P186"/>
    <hyperlink r:id="rId657" ref="P187"/>
    <hyperlink r:id="rId658" ref="AY187"/>
    <hyperlink r:id="rId659" ref="BE187"/>
    <hyperlink r:id="rId660" ref="BK187"/>
    <hyperlink r:id="rId661" ref="P188"/>
    <hyperlink r:id="rId662" ref="AY188"/>
    <hyperlink r:id="rId663" ref="BE188"/>
    <hyperlink r:id="rId664" ref="BK188"/>
    <hyperlink r:id="rId665" ref="P189"/>
    <hyperlink r:id="rId666" ref="AY189"/>
    <hyperlink r:id="rId667" ref="BE189"/>
    <hyperlink r:id="rId668" ref="BK189"/>
    <hyperlink r:id="rId669" ref="P190"/>
    <hyperlink r:id="rId670" ref="AY190"/>
    <hyperlink r:id="rId671" ref="BE190"/>
    <hyperlink r:id="rId672" ref="BK190"/>
    <hyperlink r:id="rId673" ref="P191"/>
    <hyperlink r:id="rId674" ref="AY191"/>
    <hyperlink r:id="rId675" ref="BE191"/>
    <hyperlink r:id="rId676" ref="BK191"/>
    <hyperlink r:id="rId677" ref="P192"/>
    <hyperlink r:id="rId678" ref="AY192"/>
    <hyperlink r:id="rId679" ref="BE192"/>
    <hyperlink r:id="rId680" ref="P193"/>
    <hyperlink r:id="rId681" ref="AY193"/>
    <hyperlink r:id="rId682" ref="BE193"/>
    <hyperlink r:id="rId683" ref="BK193"/>
    <hyperlink r:id="rId684" ref="P194"/>
    <hyperlink r:id="rId685" ref="AY194"/>
    <hyperlink r:id="rId686" ref="BE194"/>
    <hyperlink r:id="rId687" ref="BK194"/>
    <hyperlink r:id="rId688" ref="P195"/>
    <hyperlink r:id="rId689" ref="AY195"/>
    <hyperlink r:id="rId690" ref="BE195"/>
    <hyperlink r:id="rId691" ref="BK195"/>
    <hyperlink r:id="rId692" ref="P196"/>
    <hyperlink r:id="rId693" ref="AY196"/>
    <hyperlink r:id="rId694" ref="BE196"/>
    <hyperlink r:id="rId695" ref="BK196"/>
    <hyperlink r:id="rId696" ref="P197"/>
    <hyperlink r:id="rId697" ref="AY197"/>
    <hyperlink r:id="rId698" ref="BE197"/>
    <hyperlink r:id="rId699" ref="BK197"/>
    <hyperlink r:id="rId700" ref="P198"/>
    <hyperlink r:id="rId701" ref="AY198"/>
    <hyperlink r:id="rId702" ref="BE198"/>
    <hyperlink r:id="rId703" ref="BK198"/>
    <hyperlink r:id="rId704" ref="P199"/>
    <hyperlink r:id="rId705" ref="AY199"/>
    <hyperlink r:id="rId706" ref="BE199"/>
    <hyperlink r:id="rId707" ref="BK199"/>
    <hyperlink r:id="rId708" ref="P200"/>
    <hyperlink r:id="rId709" ref="AY200"/>
    <hyperlink r:id="rId710" ref="BE200"/>
    <hyperlink r:id="rId711" ref="BK200"/>
    <hyperlink r:id="rId712" ref="P201"/>
    <hyperlink r:id="rId713" ref="AY201"/>
    <hyperlink r:id="rId714" ref="BE201"/>
    <hyperlink r:id="rId715" ref="BK201"/>
    <hyperlink r:id="rId716" ref="P202"/>
    <hyperlink r:id="rId717" ref="AY202"/>
    <hyperlink r:id="rId718" ref="BE202"/>
    <hyperlink r:id="rId719" ref="BK202"/>
    <hyperlink r:id="rId720" ref="P203"/>
    <hyperlink r:id="rId721" ref="AY203"/>
    <hyperlink r:id="rId722" ref="BE203"/>
    <hyperlink r:id="rId723" ref="BK203"/>
    <hyperlink r:id="rId724" ref="P204"/>
    <hyperlink r:id="rId725" ref="AY204"/>
    <hyperlink r:id="rId726" ref="BE204"/>
    <hyperlink r:id="rId727" ref="BK204"/>
    <hyperlink r:id="rId728" ref="P205"/>
    <hyperlink r:id="rId729" ref="AY205"/>
    <hyperlink r:id="rId730" ref="BE205"/>
    <hyperlink r:id="rId731" ref="BK205"/>
    <hyperlink r:id="rId732" ref="P206"/>
    <hyperlink r:id="rId733" ref="AY206"/>
    <hyperlink r:id="rId734" ref="BE206"/>
    <hyperlink r:id="rId735" ref="P207"/>
    <hyperlink r:id="rId736" ref="AY207"/>
    <hyperlink r:id="rId737" ref="BE207"/>
    <hyperlink r:id="rId738" ref="BK207"/>
    <hyperlink r:id="rId739" ref="P208"/>
    <hyperlink r:id="rId740" ref="AY208"/>
    <hyperlink r:id="rId741" ref="BE208"/>
    <hyperlink r:id="rId742" ref="BK208"/>
    <hyperlink r:id="rId743" ref="P209"/>
    <hyperlink r:id="rId744" ref="AY209"/>
    <hyperlink r:id="rId745" ref="BE209"/>
    <hyperlink r:id="rId746" ref="BK209"/>
    <hyperlink r:id="rId747" ref="P210"/>
    <hyperlink r:id="rId748" ref="AY210"/>
    <hyperlink r:id="rId749" ref="BE210"/>
    <hyperlink r:id="rId750" ref="BK210"/>
    <hyperlink r:id="rId751" ref="P211"/>
    <hyperlink r:id="rId752" ref="AY211"/>
    <hyperlink r:id="rId753" ref="BE211"/>
    <hyperlink r:id="rId754" ref="BK211"/>
    <hyperlink r:id="rId755" ref="P212"/>
    <hyperlink r:id="rId756" ref="AY212"/>
    <hyperlink r:id="rId757" ref="BE212"/>
    <hyperlink r:id="rId758" ref="BK212"/>
    <hyperlink r:id="rId759" ref="P213"/>
    <hyperlink r:id="rId760" ref="AY213"/>
    <hyperlink r:id="rId761" ref="BE213"/>
    <hyperlink r:id="rId762" ref="BK213"/>
    <hyperlink r:id="rId763" ref="P214"/>
    <hyperlink r:id="rId764" ref="AY214"/>
    <hyperlink r:id="rId765" ref="BE214"/>
    <hyperlink r:id="rId766" ref="BK214"/>
    <hyperlink r:id="rId767" ref="P215"/>
    <hyperlink r:id="rId768" ref="AY215"/>
    <hyperlink r:id="rId769" ref="P216"/>
    <hyperlink r:id="rId770" ref="AY216"/>
    <hyperlink r:id="rId771" ref="BE216"/>
    <hyperlink r:id="rId772" ref="BK216"/>
    <hyperlink r:id="rId773" ref="P217"/>
    <hyperlink r:id="rId774" ref="AY217"/>
    <hyperlink r:id="rId775" ref="BE217"/>
    <hyperlink r:id="rId776" ref="BK217"/>
    <hyperlink r:id="rId777" ref="P218"/>
    <hyperlink r:id="rId778" ref="AY218"/>
    <hyperlink r:id="rId779" ref="BE218"/>
    <hyperlink r:id="rId780" ref="BK218"/>
    <hyperlink r:id="rId781" ref="P219"/>
    <hyperlink r:id="rId782" ref="AY219"/>
    <hyperlink r:id="rId783" ref="BE219"/>
    <hyperlink r:id="rId784" ref="P220"/>
    <hyperlink r:id="rId785" ref="AY220"/>
    <hyperlink r:id="rId786" ref="BE220"/>
    <hyperlink r:id="rId787" ref="BK220"/>
    <hyperlink r:id="rId788" ref="P221"/>
    <hyperlink r:id="rId789" ref="AY221"/>
    <hyperlink r:id="rId790" ref="P222"/>
    <hyperlink r:id="rId791" ref="AY222"/>
    <hyperlink r:id="rId792" ref="BE222"/>
    <hyperlink r:id="rId793" ref="BK222"/>
    <hyperlink r:id="rId794" ref="P223"/>
    <hyperlink r:id="rId795" ref="AY223"/>
    <hyperlink r:id="rId796" ref="BE223"/>
    <hyperlink r:id="rId797" ref="BK223"/>
    <hyperlink r:id="rId798" ref="P224"/>
    <hyperlink r:id="rId799" ref="AY224"/>
    <hyperlink r:id="rId800" ref="BE224"/>
    <hyperlink r:id="rId801" ref="BK224"/>
    <hyperlink r:id="rId802" ref="P225"/>
    <hyperlink r:id="rId803" ref="AY225"/>
    <hyperlink r:id="rId804" ref="BE225"/>
    <hyperlink r:id="rId805" ref="BK225"/>
    <hyperlink r:id="rId806" ref="P226"/>
    <hyperlink r:id="rId807" ref="AY226"/>
    <hyperlink r:id="rId808" ref="BE226"/>
    <hyperlink r:id="rId809" ref="BK226"/>
    <hyperlink r:id="rId810" ref="P227"/>
    <hyperlink r:id="rId811" ref="AY227"/>
    <hyperlink r:id="rId812" ref="BE227"/>
    <hyperlink r:id="rId813" ref="BK227"/>
    <hyperlink r:id="rId814" ref="P228"/>
    <hyperlink r:id="rId815" ref="AY228"/>
    <hyperlink r:id="rId816" ref="BE228"/>
    <hyperlink r:id="rId817" ref="BK228"/>
    <hyperlink r:id="rId818" ref="P229"/>
    <hyperlink r:id="rId819" ref="AY229"/>
    <hyperlink r:id="rId820" ref="BE229"/>
    <hyperlink r:id="rId821" ref="BK229"/>
    <hyperlink r:id="rId822" ref="P230"/>
    <hyperlink r:id="rId823" ref="AY230"/>
    <hyperlink r:id="rId824" ref="P231"/>
    <hyperlink r:id="rId825" ref="AY231"/>
    <hyperlink r:id="rId826" ref="P232"/>
    <hyperlink r:id="rId827" ref="AY232"/>
    <hyperlink r:id="rId828" ref="BE232"/>
    <hyperlink r:id="rId829" ref="BK232"/>
    <hyperlink r:id="rId830" ref="P233"/>
    <hyperlink r:id="rId831" ref="AY233"/>
    <hyperlink r:id="rId832" ref="BE233"/>
    <hyperlink r:id="rId833" ref="BK233"/>
    <hyperlink r:id="rId834" ref="P234"/>
    <hyperlink r:id="rId835" ref="AY234"/>
    <hyperlink r:id="rId836" ref="BE234"/>
    <hyperlink r:id="rId837" ref="P235"/>
    <hyperlink r:id="rId838" ref="AY235"/>
    <hyperlink r:id="rId839" ref="BE235"/>
    <hyperlink r:id="rId840" ref="BK235"/>
    <hyperlink r:id="rId841" ref="P236"/>
    <hyperlink r:id="rId842" ref="AY236"/>
    <hyperlink r:id="rId843" ref="BE236"/>
    <hyperlink r:id="rId844" ref="BK236"/>
    <hyperlink r:id="rId845" ref="P237"/>
    <hyperlink r:id="rId846" ref="AY237"/>
    <hyperlink r:id="rId847" ref="BE237"/>
    <hyperlink r:id="rId848" ref="BK237"/>
    <hyperlink r:id="rId849" ref="P238"/>
    <hyperlink r:id="rId850" ref="AY238"/>
    <hyperlink r:id="rId851" ref="BE238"/>
    <hyperlink r:id="rId852" ref="BK238"/>
    <hyperlink r:id="rId853" ref="P239"/>
    <hyperlink r:id="rId854" ref="AY239"/>
    <hyperlink r:id="rId855" ref="P240"/>
    <hyperlink r:id="rId856" ref="AY240"/>
    <hyperlink r:id="rId857" ref="P241"/>
    <hyperlink r:id="rId858" ref="AY241"/>
    <hyperlink r:id="rId859" ref="P242"/>
    <hyperlink r:id="rId860" ref="AY242"/>
    <hyperlink r:id="rId861" ref="BE242"/>
    <hyperlink r:id="rId862" ref="BK242"/>
    <hyperlink r:id="rId863" ref="P243"/>
    <hyperlink r:id="rId864" ref="AY243"/>
    <hyperlink r:id="rId865" ref="BE243"/>
    <hyperlink r:id="rId866" ref="BK243"/>
    <hyperlink r:id="rId867" ref="P244"/>
    <hyperlink r:id="rId868" ref="AY244"/>
    <hyperlink r:id="rId869" ref="BE244"/>
    <hyperlink r:id="rId870" ref="BK244"/>
    <hyperlink r:id="rId871" ref="P245"/>
    <hyperlink r:id="rId872" ref="P246"/>
    <hyperlink r:id="rId873" ref="AY246"/>
    <hyperlink r:id="rId874" ref="BE246"/>
    <hyperlink r:id="rId875" ref="BK246"/>
    <hyperlink r:id="rId876" ref="P247"/>
    <hyperlink r:id="rId877" ref="AY247"/>
    <hyperlink r:id="rId878" ref="BE247"/>
    <hyperlink r:id="rId879" ref="BK247"/>
    <hyperlink r:id="rId880" ref="P248"/>
    <hyperlink r:id="rId881" ref="BE248"/>
    <hyperlink r:id="rId882" ref="BK248"/>
    <hyperlink r:id="rId883" ref="P249"/>
    <hyperlink r:id="rId884" ref="P250"/>
    <hyperlink r:id="rId885" ref="P251"/>
    <hyperlink r:id="rId886" ref="AY251"/>
    <hyperlink r:id="rId887" ref="BE251"/>
    <hyperlink r:id="rId888" ref="BK251"/>
    <hyperlink r:id="rId889" ref="P252"/>
    <hyperlink r:id="rId890" ref="P253"/>
    <hyperlink r:id="rId891" ref="AY253"/>
    <hyperlink r:id="rId892" ref="BE253"/>
    <hyperlink r:id="rId893" ref="BK253"/>
    <hyperlink r:id="rId894" ref="P254"/>
    <hyperlink r:id="rId895" ref="AY254"/>
    <hyperlink r:id="rId896" ref="BE254"/>
    <hyperlink r:id="rId897" ref="BK254"/>
    <hyperlink r:id="rId898" ref="P255"/>
    <hyperlink r:id="rId899" ref="AY255"/>
    <hyperlink r:id="rId900" ref="BE255"/>
    <hyperlink r:id="rId901" ref="BK255"/>
    <hyperlink r:id="rId902" ref="P256"/>
    <hyperlink r:id="rId903" ref="AY256"/>
    <hyperlink r:id="rId904" ref="BE256"/>
    <hyperlink r:id="rId905" ref="BK256"/>
    <hyperlink r:id="rId906" ref="P257"/>
    <hyperlink r:id="rId907" ref="P258"/>
    <hyperlink r:id="rId908" ref="P259"/>
    <hyperlink r:id="rId909" ref="AY259"/>
    <hyperlink r:id="rId910" ref="P260"/>
    <hyperlink r:id="rId911" ref="AY260"/>
    <hyperlink r:id="rId912" location="spd=5330502801395502183" ref="BE260"/>
    <hyperlink r:id="rId913" ref="BK260"/>
    <hyperlink r:id="rId914" ref="P261"/>
    <hyperlink r:id="rId915" ref="AY261"/>
    <hyperlink r:id="rId916" ref="BE261"/>
    <hyperlink r:id="rId917" ref="BK261"/>
    <hyperlink r:id="rId918" ref="P262"/>
    <hyperlink r:id="rId919" ref="AY262"/>
    <hyperlink r:id="rId920" ref="BE262"/>
    <hyperlink r:id="rId921" ref="BK262"/>
    <hyperlink r:id="rId922" ref="P263"/>
    <hyperlink r:id="rId923" ref="AY263"/>
    <hyperlink r:id="rId924" ref="BE263"/>
    <hyperlink r:id="rId925" ref="BK263"/>
    <hyperlink r:id="rId926" ref="P264"/>
    <hyperlink r:id="rId927" ref="P265"/>
    <hyperlink r:id="rId928" ref="AY265"/>
    <hyperlink r:id="rId929" ref="BE265"/>
    <hyperlink r:id="rId930" ref="BK265"/>
    <hyperlink r:id="rId931" ref="P266"/>
    <hyperlink r:id="rId932" ref="AY266"/>
    <hyperlink r:id="rId933" ref="BE266"/>
    <hyperlink r:id="rId934" ref="P267"/>
    <hyperlink r:id="rId935" ref="AY267"/>
    <hyperlink r:id="rId936" ref="BE267"/>
    <hyperlink r:id="rId937" ref="P268"/>
    <hyperlink r:id="rId938" ref="AY268"/>
    <hyperlink r:id="rId939" ref="BE268"/>
    <hyperlink r:id="rId940" ref="BK268"/>
    <hyperlink r:id="rId941" ref="P269"/>
    <hyperlink r:id="rId942" ref="AY269"/>
    <hyperlink r:id="rId943" ref="BE269"/>
    <hyperlink r:id="rId944" ref="BK269"/>
    <hyperlink r:id="rId945" ref="P270"/>
    <hyperlink r:id="rId946" ref="AY270"/>
    <hyperlink r:id="rId947" ref="BE270"/>
    <hyperlink r:id="rId948" ref="BK270"/>
    <hyperlink r:id="rId949" ref="P271"/>
    <hyperlink r:id="rId950" ref="AY271"/>
    <hyperlink r:id="rId951" ref="BE271"/>
    <hyperlink r:id="rId952" ref="BK271"/>
    <hyperlink r:id="rId953" ref="P272"/>
    <hyperlink r:id="rId954" ref="AY272"/>
    <hyperlink r:id="rId955" ref="BE272"/>
    <hyperlink r:id="rId956" ref="BK272"/>
    <hyperlink r:id="rId957" ref="P273"/>
    <hyperlink r:id="rId958" ref="AY273"/>
    <hyperlink r:id="rId959" ref="BE273"/>
    <hyperlink r:id="rId960" ref="BK273"/>
    <hyperlink r:id="rId961" ref="P274"/>
    <hyperlink r:id="rId962" ref="AY274"/>
    <hyperlink r:id="rId963" ref="BE274"/>
    <hyperlink r:id="rId964" ref="BK274"/>
    <hyperlink r:id="rId965" ref="P275"/>
    <hyperlink r:id="rId966" ref="AY275"/>
    <hyperlink r:id="rId967" ref="BE275"/>
    <hyperlink r:id="rId968" ref="BK275"/>
    <hyperlink r:id="rId969" ref="P276"/>
    <hyperlink r:id="rId970" ref="AY276"/>
    <hyperlink r:id="rId971" ref="BE276"/>
    <hyperlink r:id="rId972" ref="BK276"/>
    <hyperlink r:id="rId973" ref="P277"/>
    <hyperlink r:id="rId974" ref="AY277"/>
    <hyperlink r:id="rId975" ref="BE277"/>
    <hyperlink r:id="rId976" ref="BK277"/>
    <hyperlink r:id="rId977" ref="P278"/>
    <hyperlink r:id="rId978" ref="AY278"/>
    <hyperlink r:id="rId979" ref="BE278"/>
    <hyperlink r:id="rId980" ref="BK278"/>
    <hyperlink r:id="rId981" ref="P279"/>
    <hyperlink r:id="rId982" ref="AY279"/>
    <hyperlink r:id="rId983" ref="BE279"/>
    <hyperlink r:id="rId984" ref="BK279"/>
    <hyperlink r:id="rId985" ref="P280"/>
    <hyperlink r:id="rId986" ref="AY280"/>
    <hyperlink r:id="rId987" ref="BE280"/>
    <hyperlink r:id="rId988" ref="BK280"/>
    <hyperlink r:id="rId989" ref="P281"/>
    <hyperlink r:id="rId990" ref="AY281"/>
    <hyperlink r:id="rId991" ref="BE281"/>
    <hyperlink r:id="rId992" ref="BK281"/>
    <hyperlink r:id="rId993" ref="P282"/>
    <hyperlink r:id="rId994" ref="AY282"/>
    <hyperlink r:id="rId995" ref="BE282"/>
    <hyperlink r:id="rId996" ref="BK282"/>
    <hyperlink r:id="rId997" ref="P283"/>
    <hyperlink r:id="rId998" ref="AY283"/>
    <hyperlink r:id="rId999" ref="BE283"/>
    <hyperlink r:id="rId1000" ref="P284"/>
    <hyperlink r:id="rId1001" ref="AY284"/>
    <hyperlink r:id="rId1002" ref="P285"/>
    <hyperlink r:id="rId1003" ref="AY285"/>
    <hyperlink r:id="rId1004" ref="BE285"/>
    <hyperlink r:id="rId1005" ref="BK285"/>
    <hyperlink r:id="rId1006" ref="P286"/>
    <hyperlink r:id="rId1007" ref="P287"/>
    <hyperlink r:id="rId1008" ref="P288"/>
    <hyperlink r:id="rId1009" ref="AY288"/>
    <hyperlink r:id="rId1010" ref="BE288"/>
    <hyperlink r:id="rId1011" ref="BK288"/>
    <hyperlink r:id="rId1012" ref="P289"/>
    <hyperlink r:id="rId1013" ref="AY289"/>
    <hyperlink r:id="rId1014" ref="BE289"/>
    <hyperlink r:id="rId1015" ref="BK289"/>
    <hyperlink r:id="rId1016" ref="P290"/>
    <hyperlink r:id="rId1017" ref="AY290"/>
    <hyperlink r:id="rId1018" ref="P291"/>
    <hyperlink r:id="rId1019" ref="AY291"/>
    <hyperlink r:id="rId1020" ref="BE291"/>
    <hyperlink r:id="rId1021" ref="BK291"/>
    <hyperlink r:id="rId1022" ref="P292"/>
    <hyperlink r:id="rId1023" ref="AY292"/>
    <hyperlink r:id="rId1024" ref="BE292"/>
    <hyperlink r:id="rId1025" ref="P293"/>
    <hyperlink r:id="rId1026" ref="AY293"/>
    <hyperlink r:id="rId1027" ref="BE293"/>
    <hyperlink r:id="rId1028" ref="BK293"/>
    <hyperlink r:id="rId1029" ref="P294"/>
    <hyperlink r:id="rId1030" ref="AY294"/>
    <hyperlink r:id="rId1031" ref="BE294"/>
    <hyperlink r:id="rId1032" ref="BK294"/>
    <hyperlink r:id="rId1033" ref="P295"/>
    <hyperlink r:id="rId1034" ref="AY295"/>
    <hyperlink r:id="rId1035" ref="BE295"/>
    <hyperlink r:id="rId1036" ref="BK295"/>
    <hyperlink r:id="rId1037" ref="P296"/>
    <hyperlink r:id="rId1038" ref="AY296"/>
    <hyperlink r:id="rId1039" ref="BE296"/>
    <hyperlink r:id="rId1040" ref="P297"/>
    <hyperlink r:id="rId1041" ref="AY297"/>
    <hyperlink r:id="rId1042" ref="BE297"/>
    <hyperlink r:id="rId1043" ref="BK297"/>
    <hyperlink r:id="rId1044" ref="P298"/>
    <hyperlink r:id="rId1045" ref="AY298"/>
    <hyperlink r:id="rId1046" ref="BE298"/>
    <hyperlink r:id="rId1047" ref="BK298"/>
    <hyperlink r:id="rId1048" ref="P299"/>
    <hyperlink r:id="rId1049" ref="P300"/>
    <hyperlink r:id="rId1050" ref="AY300"/>
    <hyperlink r:id="rId1051" ref="BE300"/>
    <hyperlink r:id="rId1052" ref="BK300"/>
    <hyperlink r:id="rId1053" ref="P301"/>
    <hyperlink r:id="rId1054" ref="AY301"/>
    <hyperlink r:id="rId1055" ref="BE301"/>
    <hyperlink r:id="rId1056" ref="BK301"/>
    <hyperlink r:id="rId1057" ref="P302"/>
    <hyperlink r:id="rId1058" ref="AY302"/>
    <hyperlink r:id="rId1059" ref="BE302"/>
    <hyperlink r:id="rId1060" ref="BK302"/>
    <hyperlink r:id="rId1061" ref="P303"/>
    <hyperlink r:id="rId1062" ref="AY303"/>
    <hyperlink r:id="rId1063" ref="BE303"/>
    <hyperlink r:id="rId1064" ref="BK303"/>
    <hyperlink r:id="rId1065" ref="P304"/>
    <hyperlink r:id="rId1066" ref="AY304"/>
    <hyperlink r:id="rId1067" ref="P305"/>
    <hyperlink r:id="rId1068" ref="AY305"/>
    <hyperlink r:id="rId1069" ref="BE305"/>
    <hyperlink r:id="rId1070" ref="BK305"/>
    <hyperlink r:id="rId1071" ref="P306"/>
    <hyperlink r:id="rId1072" ref="AY306"/>
    <hyperlink r:id="rId1073" ref="BE306"/>
    <hyperlink r:id="rId1074" ref="BK306"/>
    <hyperlink r:id="rId1075" ref="P307"/>
    <hyperlink r:id="rId1076" ref="AY307"/>
    <hyperlink r:id="rId1077" ref="P308"/>
    <hyperlink r:id="rId1078" ref="P309"/>
    <hyperlink r:id="rId1079" ref="AY309"/>
    <hyperlink r:id="rId1080" ref="BE309"/>
    <hyperlink r:id="rId1081" ref="BK309"/>
    <hyperlink r:id="rId1082" ref="AY310"/>
  </hyperlinks>
  <drawing r:id="rId1083"/>
</worksheet>
</file>