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pivotTables/pivotTable1.xml" ContentType="application/vnd.openxmlformats-officedocument.spreadsheetml.pivotTable+xml"/>
  <Override PartName="/xl/pivotTables/_rels/pivotTable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_rels/pivotCacheDefinition1.xml.rels" ContentType="application/vnd.openxmlformats-package.relationships+xml"/>
  <Override PartName="/xl/pivotCache/pivotCacheRecords1.xml" ContentType="application/vnd.openxmlformats-officedocument.spreadsheetml.pivotCacheRecord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AGENTES, SOLVENTES E MEIOS DE" sheetId="1" state="visible" r:id="rId2"/>
    <sheet name="TD REAGENTES, SOLVENTES E MEIOS" sheetId="2" state="visible" r:id="rId3"/>
  </sheets>
  <definedNames>
    <definedName function="false" hidden="true" localSheetId="0" name="_xlnm._FilterDatabase" vbProcedure="false">'REAGENTES, SOLVENTES E MEIOS DE'!$A$1:$BL$247</definedName>
    <definedName function="false" hidden="false" localSheetId="0" name="Z_0CACA08A_8B03_497F_95A1_BF74B7AFD0A9_.wvu.FilterData" vbProcedure="false">'REAGENTES, SOLVENTES E MEIOS DE'!$A$1:$W$244</definedName>
  </definedNames>
  <calcPr iterateCount="100" refMode="A1" iterate="false" iterateDelta="0.0001"/>
  <pivotCaches>
    <pivotCache cacheId="1" r:id="rId5"/>
  </pivotCaches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33" authorId="0">
      <text>
        <r>
          <rPr>
            <sz val="10"/>
            <color rgb="FF000000"/>
            <rFont val="Arial"/>
            <family val="0"/>
            <charset val="1"/>
          </rPr>
          <t xml:space="preserve">REMANEJADO DA PLANILHA DE MATERIAIS HOSPITALARES.
	-Graziela Oliveira</t>
        </r>
      </text>
    </comment>
    <comment ref="A246" authorId="0">
      <text>
        <r>
          <rPr>
            <sz val="10"/>
            <color rgb="FF000000"/>
            <rFont val="Arial"/>
            <family val="0"/>
            <charset val="1"/>
          </rPr>
          <t xml:space="preserve">REMANEJADO DA PLANILHA DE MATERIAIS HOSPITALARES.
	-Graziela Oliveira</t>
        </r>
      </text>
    </comment>
    <comment ref="A248" authorId="0">
      <text>
        <r>
          <rPr>
            <sz val="10"/>
            <color rgb="FF000000"/>
            <rFont val="Arial"/>
            <family val="0"/>
            <charset val="1"/>
          </rPr>
          <t xml:space="preserve">REMANEJADO DA PLANILHA DE MATERIAIS HOSPITALARES.
	-Graziela Oliveira</t>
        </r>
      </text>
    </comment>
    <comment ref="B25" authorId="0">
      <text>
        <r>
          <rPr>
            <sz val="10"/>
            <color rgb="FF000000"/>
            <rFont val="Arial"/>
            <family val="0"/>
            <charset val="1"/>
          </rPr>
          <t xml:space="preserve">poderia ser substituido para síntese, faça um pesquisa no google e veja.
	-Sivaldo Paulino</t>
        </r>
      </text>
    </comment>
    <comment ref="B27" authorId="0">
      <text>
        <r>
          <rPr>
            <sz val="10"/>
            <color rgb="FF000000"/>
            <rFont val="Arial"/>
            <family val="0"/>
            <charset val="1"/>
          </rPr>
          <t xml:space="preserve">Alterar descrição para o nosso padrão PA ACS
	-Ana Santos
@lauristela.hermogenes@ceca.ufal.br verificar a necessidade do ácido sulfúrico fumegante em detrimento do 95% de pureza.
	-Ana Santos</t>
        </r>
      </text>
    </comment>
    <comment ref="B39" authorId="0">
      <text>
        <r>
          <rPr>
            <sz val="10"/>
            <color rgb="FF000000"/>
            <rFont val="Arial"/>
            <family val="0"/>
            <charset val="1"/>
          </rPr>
          <t xml:space="preserve">Passar para Farmaco
	-Ana Santos
Não remover agora não colocarei cotações, mas ao final removemos
	-Sivaldo Paulino</t>
        </r>
      </text>
    </comment>
    <comment ref="B41" authorId="0">
      <text>
        <r>
          <rPr>
            <sz val="10"/>
            <color rgb="FF000000"/>
            <rFont val="Arial"/>
            <family val="0"/>
            <charset val="1"/>
          </rPr>
          <t xml:space="preserve">Questionar a unidade se pode ser em pó
	-Ana Santos</t>
        </r>
      </text>
    </comment>
    <comment ref="B46" authorId="0">
      <text>
        <r>
          <rPr>
            <sz val="10"/>
            <color rgb="FF000000"/>
            <rFont val="Arial"/>
            <family val="0"/>
            <charset val="1"/>
          </rPr>
          <t xml:space="preserve">ao remover do banco de preços remover está linha, ja acrescentei na linha 14
	-Sivaldo Paulino</t>
        </r>
      </text>
    </comment>
    <comment ref="B84" authorId="0">
      <text>
        <r>
          <rPr>
            <sz val="10"/>
            <color rgb="FF000000"/>
            <rFont val="Arial"/>
            <family val="0"/>
            <charset val="1"/>
          </rPr>
          <t xml:space="preserve">Foi modificado para o que foi trabalhado anos anteriores
	-Sivaldo Paulino</t>
        </r>
      </text>
    </comment>
    <comment ref="B102" authorId="0">
      <text>
        <r>
          <rPr>
            <sz val="10"/>
            <color rgb="FF000000"/>
            <rFont val="Arial"/>
            <family val="0"/>
            <charset val="1"/>
          </rPr>
          <t xml:space="preserve">Alterar a unidade de fornecimento para gramas, pois é mais facilmente encontrado
	-Ana Santos</t>
        </r>
      </text>
    </comment>
    <comment ref="B120" authorId="0">
      <text>
        <r>
          <rPr>
            <sz val="10"/>
            <color rgb="FF000000"/>
            <rFont val="Arial"/>
            <family val="0"/>
            <charset val="1"/>
          </rPr>
          <t xml:space="preserve">Alterar unidade de fornecimento para frasco de 10 g
	-Ana Santos</t>
        </r>
      </text>
    </comment>
    <comment ref="B123" authorId="0">
      <text>
        <r>
          <rPr>
            <sz val="10"/>
            <color rgb="FF000000"/>
            <rFont val="Arial"/>
            <family val="0"/>
            <charset val="1"/>
          </rPr>
          <t xml:space="preserve">Questionar a unidade se pode ser em pó
	-Ana Santos</t>
        </r>
      </text>
    </comment>
    <comment ref="B127" authorId="0">
      <text>
        <r>
          <rPr>
            <sz val="10"/>
            <color rgb="FF000000"/>
            <rFont val="Arial"/>
            <family val="0"/>
            <charset val="1"/>
          </rPr>
          <t xml:space="preserve">Consultar a unidade se precisa ser PA ACS ou se ACS já é suficiente
	-Ana Santos</t>
        </r>
      </text>
    </comment>
    <comment ref="B168" authorId="0">
      <text>
        <r>
          <rPr>
            <sz val="10"/>
            <color rgb="FF000000"/>
            <rFont val="Arial"/>
            <family val="0"/>
            <charset val="1"/>
          </rPr>
          <t xml:space="preserve">Rever unidade de fornecimento. Muito comum Litro ou Galão
	-Ana Santos</t>
        </r>
      </text>
    </comment>
    <comment ref="B181" authorId="0">
      <text>
        <r>
          <rPr>
            <sz val="10"/>
            <color rgb="FF000000"/>
            <rFont val="Arial"/>
            <family val="0"/>
            <charset val="1"/>
          </rPr>
          <t xml:space="preserve">Alterar unidade de fornecimento para frasco de 100 g (quantidade a ser alterada: 5 frascos)
	-Ana Santos</t>
        </r>
      </text>
    </comment>
    <comment ref="B198" authorId="0">
      <text>
        <r>
          <rPr>
            <sz val="10"/>
            <color rgb="FF000000"/>
            <rFont val="Arial"/>
            <family val="0"/>
            <charset val="1"/>
          </rPr>
          <t xml:space="preserve">Alterar descrição para frasco com 100 mL, pois é muito mais fácil de ser encontrado cotação
	-Ana Santos</t>
        </r>
      </text>
    </comment>
    <comment ref="B233" authorId="0">
      <text>
        <r>
          <rPr>
            <sz val="10"/>
            <color rgb="FF000000"/>
            <rFont val="Arial"/>
            <family val="0"/>
            <charset val="1"/>
          </rPr>
          <t xml:space="preserve">Sugestão: Padronizar aquisição em frascos de 5 g, facilmente encontrado no mercado.
	-Ana Santos</t>
        </r>
      </text>
    </comment>
    <comment ref="B244" authorId="0">
      <text>
        <r>
          <rPr>
            <sz val="10"/>
            <color rgb="FF000000"/>
            <rFont val="Arial"/>
            <family val="0"/>
            <charset val="1"/>
          </rPr>
          <t xml:space="preserve">Questionar se precisa que seja Etanol glicerinado. Se sim, é item de limpeza
	-Ana Santos
@lauristela.hermogenes@ceca.ufal.br poderia questionar o requisitante da Unidade de ensino de Viçosa
	-Ana Santos</t>
        </r>
      </text>
    </comment>
    <comment ref="B247" authorId="0">
      <text>
        <r>
          <rPr>
            <sz val="10"/>
            <color rgb="FF000000"/>
            <rFont val="Arial"/>
            <family val="0"/>
            <charset val="1"/>
          </rPr>
          <t xml:space="preserve">Não é a sílica gel usada em laboratório, e sim para evitar mofo. Assim, além de não ser item de laboratório, não é item coletivo.
	-Ana Santos</t>
        </r>
      </text>
    </comment>
    <comment ref="C43" authorId="0">
      <text>
        <r>
          <rPr>
            <sz val="10"/>
            <color rgb="FF000000"/>
            <rFont val="Arial"/>
            <family val="0"/>
            <charset val="1"/>
          </rPr>
          <t xml:space="preserve">Substituído o CATMAT 366466 pelo CATMAT para 357239. Itens iguais. Código Sipac 3022101046, cadastro antigo.
	-Ana Santos</t>
        </r>
      </text>
    </comment>
    <comment ref="C146" authorId="0">
      <text>
        <r>
          <rPr>
            <sz val="10"/>
            <color rgb="FF000000"/>
            <rFont val="Arial"/>
            <family val="0"/>
            <charset val="1"/>
          </rPr>
          <t xml:space="preserve">não tem catmat para este item.
	-Sivaldo Paulino</t>
        </r>
      </text>
    </comment>
    <comment ref="N31" authorId="0">
      <text>
        <r>
          <rPr>
            <sz val="10"/>
            <color rgb="FF000000"/>
            <rFont val="Arial"/>
            <family val="0"/>
            <charset val="1"/>
          </rPr>
          <t xml:space="preserve">Não tenho competência
	-Sivaldo Paulino
@ana.santos@icbs.ufal.br , Falar com a Emmily para pedir ajuda.
	-Ana Santos</t>
        </r>
      </text>
    </comment>
    <comment ref="N49" authorId="0">
      <text>
        <r>
          <rPr>
            <sz val="10"/>
            <color rgb="FF000000"/>
            <rFont val="Arial"/>
            <family val="0"/>
            <charset val="1"/>
          </rPr>
          <t xml:space="preserve">deve saber se é necessário ser iso ou p.a. acs já serve, ou por quanto do tempo trabalhamos esse item do jeito que está.
	-Sivaldo Paulino</t>
        </r>
      </text>
    </comment>
    <comment ref="N80" authorId="0">
      <text>
        <r>
          <rPr>
            <sz val="10"/>
            <color rgb="FF000000"/>
            <rFont val="Arial"/>
            <family val="0"/>
            <charset val="1"/>
          </rPr>
          <t xml:space="preserve">Questionar à Unidade se precisa ser PA ACS
	-Ana Santos</t>
        </r>
      </text>
    </comment>
    <comment ref="N91" authorId="0">
      <text>
        <r>
          <rPr>
            <sz val="10"/>
            <color rgb="FF000000"/>
            <rFont val="Arial"/>
            <family val="0"/>
            <charset val="1"/>
          </rPr>
          <t xml:space="preserve">aqui propoe mudança de texto para aceitaçaõ
	-Sivaldo Paulino</t>
        </r>
      </text>
    </comment>
    <comment ref="N145" authorId="0">
      <text>
        <r>
          <rPr>
            <sz val="10"/>
            <color rgb="FF000000"/>
            <rFont val="Arial"/>
            <family val="0"/>
            <charset val="1"/>
          </rPr>
          <t xml:space="preserve">aqui tem duas formas de serem entregue agrado a comissão para resolver isso
	-Sivaldo Paulino</t>
        </r>
      </text>
    </comment>
    <comment ref="AQ1" authorId="0">
      <text>
        <r>
          <rPr>
            <sz val="10"/>
            <color rgb="FF000000"/>
            <rFont val="Arial"/>
            <family val="0"/>
            <charset val="1"/>
          </rPr>
          <t xml:space="preserve">essa coluna está duplica para facilitar a pesquisa
	-Sivaldo Paulino</t>
        </r>
      </text>
    </comment>
    <comment ref="AQ77" authorId="0">
      <text>
        <r>
          <rPr>
            <sz val="10"/>
            <color rgb="FF000000"/>
            <rFont val="Arial"/>
            <family val="0"/>
            <charset val="1"/>
          </rPr>
          <t xml:space="preserve">Esse seria mais fácil se fosse (5H2O)
	-Sivaldo Paulino</t>
        </r>
      </text>
    </comment>
  </commentList>
</comments>
</file>

<file path=xl/sharedStrings.xml><?xml version="1.0" encoding="utf-8"?>
<sst xmlns="http://schemas.openxmlformats.org/spreadsheetml/2006/main" count="6016" uniqueCount="1853">
  <si>
    <t xml:space="preserve">UNIDADE</t>
  </si>
  <si>
    <t xml:space="preserve">NECESSIDADE</t>
  </si>
  <si>
    <t xml:space="preserve">CATMAT</t>
  </si>
  <si>
    <t xml:space="preserve">COMISSÃO</t>
  </si>
  <si>
    <t xml:space="preserve">TIPIFICAÇÃO</t>
  </si>
  <si>
    <t xml:space="preserve">QUANTIDADE</t>
  </si>
  <si>
    <t xml:space="preserve">QUANTIDADE SELECIONADA</t>
  </si>
  <si>
    <t xml:space="preserve">VALOR ESTIMADO</t>
  </si>
  <si>
    <t xml:space="preserve">TOTAL</t>
  </si>
  <si>
    <t xml:space="preserve">link</t>
  </si>
  <si>
    <t xml:space="preserve">Número banco de preço</t>
  </si>
  <si>
    <t xml:space="preserve">Cotação SIPAC</t>
  </si>
  <si>
    <t xml:space="preserve">SIPAC</t>
  </si>
  <si>
    <t xml:space="preserve">Descrição</t>
  </si>
  <si>
    <t xml:space="preserve">Und_Forn.</t>
  </si>
  <si>
    <t xml:space="preserve">QTD_TOTAL</t>
  </si>
  <si>
    <t xml:space="preserve">CIDADE</t>
  </si>
  <si>
    <t xml:space="preserve">AGROECOLOGIA/CECA</t>
  </si>
  <si>
    <t xml:space="preserve">AGRONOMIA/ARAPIRACA</t>
  </si>
  <si>
    <t xml:space="preserve">AGRONOMIA/CECA</t>
  </si>
  <si>
    <t xml:space="preserve">BIOLOGIA/PENEDO</t>
  </si>
  <si>
    <t xml:space="preserve">CAMPUS SERTÃO</t>
  </si>
  <si>
    <t xml:space="preserve">CENTRO DE TECNOLOGIA</t>
  </si>
  <si>
    <t xml:space="preserve">ENFERMAGEM/ARAPIRACA</t>
  </si>
  <si>
    <t xml:space="preserve">ENGENHARIA DE ENERGIA/CECA</t>
  </si>
  <si>
    <t xml:space="preserve">ENGENHARIA DE PESCA/PENEDO</t>
  </si>
  <si>
    <t xml:space="preserve">ENGENHARIA DE PRODUÇÃO/PENEDO</t>
  </si>
  <si>
    <t xml:space="preserve">ENGENHARIA FLORESTAL/CECA</t>
  </si>
  <si>
    <t xml:space="preserve">FACULDADE DE MEDICINA</t>
  </si>
  <si>
    <t xml:space="preserve">FACULDADE DE ODONTOLOGIA</t>
  </si>
  <si>
    <t xml:space="preserve">FÍSICA/ARAPIRACA</t>
  </si>
  <si>
    <t xml:space="preserve">GEINFRA/ARAPIRACA</t>
  </si>
  <si>
    <t xml:space="preserve">HOSPITAL VETERINÁRIO/CECA</t>
  </si>
  <si>
    <t xml:space="preserve">INSTITUTO DE FÍSICA</t>
  </si>
  <si>
    <t xml:space="preserve">INSTITUTO DE QUÍMICA E BIOTECNOLOGIA</t>
  </si>
  <si>
    <t xml:space="preserve">MEDICINA/ARAPIRACA</t>
  </si>
  <si>
    <t xml:space="preserve">MHN/PROEX</t>
  </si>
  <si>
    <t xml:space="preserve">PINACOTECA/PROEX</t>
  </si>
  <si>
    <t xml:space="preserve">QUÍMICA E QUÍMICA EAD/ARAPIRACA</t>
  </si>
  <si>
    <t xml:space="preserve">U.E. VIÇOSA/FAZENDA/CECA</t>
  </si>
  <si>
    <t xml:space="preserve">ZOOTECNIA CECA</t>
  </si>
  <si>
    <t xml:space="preserve">ZOOTECNIA/ARAPIRACA</t>
  </si>
  <si>
    <t xml:space="preserve">Cotador</t>
  </si>
  <si>
    <t xml:space="preserve">valor médio</t>
  </si>
  <si>
    <t xml:space="preserve">Valor máximo 130%</t>
  </si>
  <si>
    <t xml:space="preserve">CNPJ 1</t>
  </si>
  <si>
    <t xml:space="preserve">Valor site 1</t>
  </si>
  <si>
    <t xml:space="preserve">Site 1</t>
  </si>
  <si>
    <t xml:space="preserve">RAZÃO 1</t>
  </si>
  <si>
    <t xml:space="preserve">Marca 1</t>
  </si>
  <si>
    <t xml:space="preserve">DATA 1</t>
  </si>
  <si>
    <t xml:space="preserve">CNPJ 2</t>
  </si>
  <si>
    <t xml:space="preserve">Valor site 2</t>
  </si>
  <si>
    <t xml:space="preserve">Site 2</t>
  </si>
  <si>
    <t xml:space="preserve">RAZÃO 2</t>
  </si>
  <si>
    <t xml:space="preserve">Marca 2</t>
  </si>
  <si>
    <t xml:space="preserve">DATA2</t>
  </si>
  <si>
    <t xml:space="preserve">CNPJ 3</t>
  </si>
  <si>
    <t xml:space="preserve">Valor site 3</t>
  </si>
  <si>
    <t xml:space="preserve">Site 3</t>
  </si>
  <si>
    <t xml:space="preserve">RAZÃO 3</t>
  </si>
  <si>
    <t xml:space="preserve">Marca 3</t>
  </si>
  <si>
    <t xml:space="preserve">DATA 3</t>
  </si>
  <si>
    <t xml:space="preserve">CATMAT -452940- PADRÃO REFERÊNCIA, TIPO 1 17-ALFA-METILTESTOSTERONA, APRESENTAÇÃO 1 EM 1,2-DIMETOXIETANO, CONCENTRAÇÃO 1 1, NÚMERO DE REFERÊNCIA QUÍMICA CAS 58-18-4</t>
  </si>
  <si>
    <t xml:space="preserve">452940</t>
  </si>
  <si>
    <t xml:space="preserve">REAGENTES, SOLVENTES E MEIOS DE CULTURA</t>
  </si>
  <si>
    <t xml:space="preserve">MATERIAL DE CONSUMO</t>
  </si>
  <si>
    <t xml:space="preserve">https://sipac.sig.ufal.br/sipac/visualizaMaterial.do?popup=true&amp;id=23809&amp;acao=12</t>
  </si>
  <si>
    <t xml:space="preserve">SIM</t>
  </si>
  <si>
    <t xml:space="preserve">17-ALFA-METILTESTOSTERONA</t>
  </si>
  <si>
    <t xml:space="preserve">Gramas</t>
  </si>
  <si>
    <t xml:space="preserve">Maceió</t>
  </si>
  <si>
    <t xml:space="preserve">Filipe</t>
  </si>
  <si>
    <t xml:space="preserve">17.481.539/0001-02</t>
  </si>
  <si>
    <t xml:space="preserve">https://celeirorural.com.br/p-12144305-METILTESTOSTERONA-17-ALFA</t>
  </si>
  <si>
    <t xml:space="preserve">CELEIRO RURAL E PET COMERCIO DE PRODUTOS AGROPECUARIOS LTDA</t>
  </si>
  <si>
    <t xml:space="preserve">não informada</t>
  </si>
  <si>
    <t xml:space="preserve">04.597.432/0001-82</t>
  </si>
  <si>
    <t xml:space="preserve">https://www.jardimdeminas.com/metiltestosterona-17-alfa-1-quilo</t>
  </si>
  <si>
    <t xml:space="preserve">JARDIM DE MINAS</t>
  </si>
  <si>
    <t xml:space="preserve">07.095.159/0001-86</t>
  </si>
  <si>
    <t xml:space="preserve">https://www.mfrural.com.br/detalhe/309589/metiltestosterona-17-alfa-1-kg</t>
  </si>
  <si>
    <t xml:space="preserve">MF Rural</t>
  </si>
  <si>
    <t xml:space="preserve">CATMAT -366451- Acetato de amônio, composição básica NH4C2H3O2, aspecto físico cristal branco, peso molecular 77,08 g/mol, pureza mínima de 97%, características adicionais: reagente P.A. ACS, número de referência química: CAS 631-61-8. Fornecimento em frasco com 500 g. Atenção: observar a unidade de medida do SIPAC e colocar múltiplo de 500 g.
</t>
  </si>
  <si>
    <t xml:space="preserve">366451</t>
  </si>
  <si>
    <t xml:space="preserve">https://sipac.sig.ufal.br/sipac/visualizaMaterial.do?popup=true&amp;id=23074&amp;acao=12</t>
  </si>
  <si>
    <t xml:space="preserve">ACETATO DE AMÔNIO P.A. ACS</t>
  </si>
  <si>
    <t xml:space="preserve">51.462.471/0001-52</t>
  </si>
  <si>
    <t xml:space="preserve">https://www.lojasynth.com/reagentes-analiticosmaterias-primas/reagentes-analiticosmaterias-primas/acetato-de-amonio-p-a-a-c-s?variant_id=301327</t>
  </si>
  <si>
    <t xml:space="preserve">Loja Synth</t>
  </si>
  <si>
    <t xml:space="preserve">Synth</t>
  </si>
  <si>
    <t xml:space="preserve">52.078.276/0001-96</t>
  </si>
  <si>
    <t xml:space="preserve">https://www.lojaprolab.com.br/acetato-de-amonio-pa-acs-80527</t>
  </si>
  <si>
    <t xml:space="preserve">PRO-LAB MATERIAIS PARA LABORATORIOS LTDA</t>
  </si>
  <si>
    <t xml:space="preserve">Dinâmica</t>
  </si>
  <si>
    <t xml:space="preserve">01.151.850.0001-53</t>
  </si>
  <si>
    <t xml:space="preserve">https://ludwigbiotec.com.br/loja/produto/acetato-de-amonio-p-a-acs-500-g/512</t>
  </si>
  <si>
    <t xml:space="preserve">Ludwig Biotecnologia Ltda</t>
  </si>
  <si>
    <t xml:space="preserve">Neon</t>
  </si>
  <si>
    <t xml:space="preserve">CATMAT - 353821 - Acetato de cálcio, composição química C4H6CaO4.H2O, aspecto físico pó branco cristalino, peso molecular 176,18 g/mol, pureza mínima de 99%, característica adicional reagente P.A., número de referência química: cas 5743-26-0. Fornecimento em frasco de 1000 g. Atenção: observar a unidade de medida do SIPAC e colocar múltiplo de 1000 g.</t>
  </si>
  <si>
    <t xml:space="preserve">353821</t>
  </si>
  <si>
    <t xml:space="preserve">https://sipac.sig.ufal.br/sipac/visualizaMaterial.do?popup=true&amp;id=22671&amp;acao=12</t>
  </si>
  <si>
    <t xml:space="preserve">ACETATO DE CÁLCIO P.A. (H2O)</t>
  </si>
  <si>
    <t xml:space="preserve">https://www.lojasynth.com/reagentes-analiticosmaterias-primas/reagentes-analiticosmaterias-primas/acetato-de-calcio-h20-p-a?variant_id=301858</t>
  </si>
  <si>
    <t xml:space="preserve">31.904.234/0001-97</t>
  </si>
  <si>
    <t xml:space="preserve">https://www.labimport.com.br/reagentes/acetato-de-calcio/acetato-de-calcio-h2o-p-a-1000-g</t>
  </si>
  <si>
    <t xml:space="preserve">Labimport</t>
  </si>
  <si>
    <t xml:space="preserve">29.928.032/0001-33</t>
  </si>
  <si>
    <t xml:space="preserve">https://www.glasslab.com.br/reagentes-e-meios/acetato-de-calcio-h2o-pa-1kg</t>
  </si>
  <si>
    <t xml:space="preserve">GLASSLAB ARTIGOS PARA LABORATORIO LTDA</t>
  </si>
  <si>
    <t xml:space="preserve">EXODO</t>
  </si>
  <si>
    <t xml:space="preserve">CATMAT - 380787 - Acetato de etila, aspecto físico líquido incolor, límpido, inflamável, pureza mínima de 99,5%, composição química CH3CO2C2H5, peso molecular 88,11 g/mol, característica adicional reagente P.A. ACS, número de referência química CAS 141-78-6.</t>
  </si>
  <si>
    <t xml:space="preserve">380787</t>
  </si>
  <si>
    <t xml:space="preserve">https://sipac.sig.ufal.br/sipac/visualizaMaterial.do?popup=true&amp;id=22673&amp;acao=12</t>
  </si>
  <si>
    <t xml:space="preserve">ACETATO DE ETILA P.A. ACS</t>
  </si>
  <si>
    <t xml:space="preserve">Litros</t>
  </si>
  <si>
    <t xml:space="preserve">https://www.glasslab.com.br/reagentes-e-meios/acetato-de-etila-pa-acs-1l?parceiro=6858</t>
  </si>
  <si>
    <t xml:space="preserve">34.397.846/0001-29</t>
  </si>
  <si>
    <t xml:space="preserve">https://chepplier.com/produto/acetato-de-etila/</t>
  </si>
  <si>
    <t xml:space="preserve">Chepplier</t>
  </si>
  <si>
    <t xml:space="preserve">CHEPPLIER</t>
  </si>
  <si>
    <t xml:space="preserve">CATMAT -380436 - Acetato de sódio, aspecto físico: fino composto de cristais brancos ou incolores, fórmula química: CH3COONa anidro, massa molecular: 82,03 G/MOL, pureza mínima de 99%, característica adicional: reagente P.A. ACS, número de referência química: CAS 127-09-3. Fornecimento em frasco de 500 g. Atenção: observar a unidade de medida do SIPAC e colocar múltiplo de 500 g.
</t>
  </si>
  <si>
    <t xml:space="preserve">380436</t>
  </si>
  <si>
    <t xml:space="preserve">https://sipac.sig.ufal.br/sipac/visualizaMaterial.do?popup=true&amp;id=22675&amp;acao=12</t>
  </si>
  <si>
    <t xml:space="preserve">ACETATO DE SÓDIO ANIDRO P.A. ACS</t>
  </si>
  <si>
    <t xml:space="preserve">05.305.097/0001-64</t>
  </si>
  <si>
    <t xml:space="preserve">https://www.biomedh.com.br/007590/acetato-de-sodio-anidro-pa-acs-500gr.html</t>
  </si>
  <si>
    <t xml:space="preserve">BIOMEDH MICROBIOTECNOLOGIA LTDA</t>
  </si>
  <si>
    <t xml:space="preserve">14.453.599/0001-23</t>
  </si>
  <si>
    <t xml:space="preserve">https://www.acsreagentes.com.br/acetato-de-sodio-anidro-pa-acs-500g-acs-cientifica?utm_source=Site&amp;utm_medium=GoogleMerchant&amp;utm_campaign=GoogleMerchant&amp;gclid=Cj0KCQiAx6ugBhCcARIsAGNmMbjLaJqtrFa3lRl9MH_aJ71dnianeOowH6sHOPdYkFM96U1sD09KyFUaAp2gEALw_wcB</t>
  </si>
  <si>
    <t xml:space="preserve">ORION PRODUTOS E SERVIÇOS DE LABORATORIO LTDA</t>
  </si>
  <si>
    <t xml:space="preserve">Acs</t>
  </si>
  <si>
    <t xml:space="preserve">17.524.672/0001-07</t>
  </si>
  <si>
    <t xml:space="preserve">https://www.lojanetlab.com.br/reagentes/pa/acetato-de-sodio-anidro-pa-acs-500g</t>
  </si>
  <si>
    <t xml:space="preserve">Netlab Equipamentos para Laboratorios Ltda</t>
  </si>
  <si>
    <t xml:space="preserve">DINAMICA</t>
  </si>
  <si>
    <t xml:space="preserve">CATMAT -380786- ACETONA, ASPECTO FÍSICO LÍQUIDO LÍMPIDO TRANSPARENTE, FÓRMULA QUÍMICA C3H6O, MASSA MOLECULAR 58,08, GRAU DE PUREZA PUREZA MÍNIMA DE 99,5%, CARACTERÍSTICA ADICIONAL REAGENTE P.A. ACS, NÚMERO DE REFERÊNCIA QUÍMICA CAS 67-64-1</t>
  </si>
  <si>
    <t xml:space="preserve">380786</t>
  </si>
  <si>
    <t xml:space="preserve">https://sipac.sig.ufal.br/sipac/visualizaMaterial.do?popup=true&amp;id=22677&amp;acao=12</t>
  </si>
  <si>
    <t xml:space="preserve">ACETONA P.A. ACS</t>
  </si>
  <si>
    <t xml:space="preserve">30.774.775/0001-85</t>
  </si>
  <si>
    <t xml:space="preserve">https://www.loja.tudoparalaboratorios.com.br/p-3427945-Acetona-PA-ACS---1000ml</t>
  </si>
  <si>
    <t xml:space="preserve">Tudo Para Laboratórios</t>
  </si>
  <si>
    <t xml:space="preserve">https://www.glasslab.com.br/reagentes-e-meios/acetona-pa-acs-1l</t>
  </si>
  <si>
    <t xml:space="preserve">22.627.453/0001-85</t>
  </si>
  <si>
    <t xml:space="preserve">https://aclmaringa.com.br/produto/acetona-pa-acs790g-fr-1000ml-dinamica/</t>
  </si>
  <si>
    <t xml:space="preserve">ACL Produtos para Laboratórios</t>
  </si>
  <si>
    <t xml:space="preserve">CATMAT -345903- ACETONA, ASPECTO FÍSICO LÍQUIDO LÍMPIDO TRANSPARENTE, FÓRMULA QUÍMICA C3H6O, MASSA MOLECULAR 58,08 G/MOL, GRAU DE PUREZA PUREZA MÍNIMA DE 99,8%, CARACTERÍSTICA ADICIONAL REAGENTE P/ UV-IR-HPLC-GPC, NÚMERO DE REFERÊNCIA QUÍMICA CAS 67-64-1</t>
  </si>
  <si>
    <t xml:space="preserve">345903</t>
  </si>
  <si>
    <t xml:space="preserve">https://sipac.sig.ufal.br/sipac/visualizaMaterial.do?popup=true&amp;id=22676&amp;acao=12</t>
  </si>
  <si>
    <t xml:space="preserve">ACETONA UV-IR-HPLC-GPC</t>
  </si>
  <si>
    <t xml:space="preserve">CATMAT -347148- ACETONITRILA, ASPECTO FÍSICO: LÍQUIDO INCOLOR, LÍMPIDO, ODOR DE ÉTER, PESO MOLECULAR: 41,05 G,MOL, FÓRMULA QUÍMICA: CH3CN, GRAU DE PUREZA: PUREZA MÍNIMA DE 99,9%, CARACTERÍSTICA ADICIONAL: REAGENTE P, HPLC, NÚMERO DE REFERÊNCIA QUÍMICA: CAS 75-05-8</t>
  </si>
  <si>
    <t xml:space="preserve">347148</t>
  </si>
  <si>
    <t xml:space="preserve">https://sipac.sig.ufal.br/sipac/visualizaMaterial.do?popup=true&amp;id=22679&amp;acao=12</t>
  </si>
  <si>
    <t xml:space="preserve">ACETONITRILA HPLC</t>
  </si>
  <si>
    <t xml:space="preserve">Sivaldo</t>
  </si>
  <si>
    <t xml:space="preserve">https://www.acsreagentes.com.br/acetonitrila-uv-hplc-espectrosc-1l-acs-cientifica?utm_source=Site&amp;utm_medium=GoogleMerchant&amp;utm_campaign=GoogleMerchant</t>
  </si>
  <si>
    <t xml:space="preserve">24.183.639/0001-18</t>
  </si>
  <si>
    <t xml:space="preserve">https://www.didaticasp.com.br/ACETONITRILA-1L-UV/HPLC-ESPECTROSCOPICO</t>
  </si>
  <si>
    <t xml:space="preserve">DIDÁTICA ARTIGOS PARA LABORATÓRIO LTDA</t>
  </si>
  <si>
    <t xml:space="preserve">CATMAT -412648-ÁCIDO ACÉTICO, ASPECTO FÍSICO: LÍQUIDO LÍMPIDO TRANSPARENTE, PESO MOLECULAR: 60,05 G,MOL, FÓRMULA QUÍMICA: C2H4O2, GRAU DE PUREZA: PUREZA MÍNIMA DE 99,5%, CARACTERÍSTICA ADICIONAL: GLACIAL,REAGENTE P.A., ACS, NÚMERO DE REFERÊNCIA QUÍMICA: CAS 64-19-7</t>
  </si>
  <si>
    <t xml:space="preserve">412648</t>
  </si>
  <si>
    <t xml:space="preserve">https://sipac.sig.ufal.br/sipac/visualizaMaterial.do?popup=true&amp;id=22681&amp;acao=12</t>
  </si>
  <si>
    <t xml:space="preserve">ÁCIDO ACÉTICO GLACIAL P.A. ACS</t>
  </si>
  <si>
    <t xml:space="preserve">https://www.biomedh.com.br/008107/acido-acetico-glacial-pa-acs-1000ml.html</t>
  </si>
  <si>
    <t xml:space="preserve">https://www.glasslab.com.br/reagentes-e-meios/acido-acetico-glacial-pa-acs-1l</t>
  </si>
  <si>
    <t xml:space="preserve">https://chepplier.com/produto/acido-acetico-glacial-pa-acs-1-000ml/</t>
  </si>
  <si>
    <t xml:space="preserve">CATMAT -352951- Ácido ascórbico, aspecto físico cristal branco a amarelado, fórmula química C6H8O6 (ácido L-ascórbico), peso molecular 176,13 g/mol, pureza mínima de 99%, característica adicional reagente P.A., número de referência química CAS 50-81-7, fornecimento em Frasco de 500 g. Atenção: observar a unidade de medida do SIPAC e colocar múltiplo de 500 g.
</t>
  </si>
  <si>
    <t xml:space="preserve">352951</t>
  </si>
  <si>
    <t xml:space="preserve">https://sipac.sig.ufal.br/sipac/visualizaMaterial.do?popup=true&amp;id=24134&amp;acao=12</t>
  </si>
  <si>
    <t xml:space="preserve">ÁCIDO ASCÓRBICO L(+) P.A.</t>
  </si>
  <si>
    <t xml:space="preserve">09.356.302/0001-71</t>
  </si>
  <si>
    <t xml:space="preserve">https://www.noxsolutions.com.br/acido-ascorbico</t>
  </si>
  <si>
    <t xml:space="preserve">Nox Solutions</t>
  </si>
  <si>
    <t xml:space="preserve">NOX</t>
  </si>
  <si>
    <t xml:space="preserve">12.271.082/0001-98</t>
  </si>
  <si>
    <t xml:space="preserve">https://www.laderquimica.com.br/acido-ascorbico-l-pa-acs-vitamina-c-500g-dinamica</t>
  </si>
  <si>
    <t xml:space="preserve">Laderquímica</t>
  </si>
  <si>
    <t xml:space="preserve">https://www.acsreagentes.com.br/acido-ascorbico-l-pa-acs-vit-c-500g-acs-cientifica</t>
  </si>
  <si>
    <t xml:space="preserve">ORION PRODUTOS E SERVIÇOS DE LABORATORIO</t>
  </si>
  <si>
    <t xml:space="preserve">CATMAT -376296- Ácido benzoico, aspecto físico pó branco ou cristal incolor, com odor forte, fórmula química C6H5COOH, peso molecular 122,12 g/mol, pureza mínima de 99,5%, característica adicional reagente P.A. ACS, número de referência química CAS 65-85-0. Entregue em frasco de 500 g. Atenção: observar a unidade de medida do SIPAC e colocar múltiplo de 500 g.
</t>
  </si>
  <si>
    <t xml:space="preserve">376296</t>
  </si>
  <si>
    <t xml:space="preserve">https://sipac.sig.ufal.br/sipac/visualizaMaterial.do?popup=true&amp;id=22683&amp;acao=12</t>
  </si>
  <si>
    <t xml:space="preserve">ÁCIDO BENZOICO P.A. ACS -</t>
  </si>
  <si>
    <t xml:space="preserve">https://www.glasslab.com.br/reagentes-e-meios/acido-benzoico-pa-acs-500g</t>
  </si>
  <si>
    <t xml:space="preserve">33.069.212/0001-84</t>
  </si>
  <si>
    <t xml:space="preserve">Benzoic acid puriss. p.a., ACS reagent, reag. Ph. Eur., = 99.9 alkalimetric 65-85-0 (sigmaaldrich.com)</t>
  </si>
  <si>
    <t xml:space="preserve">MERCK S/A</t>
  </si>
  <si>
    <t xml:space="preserve">Sigma Aldrich</t>
  </si>
  <si>
    <t xml:space="preserve">CATMAT -426587- Ácido bórico, aspecto físico: cristal incolor ou pó, grânulo branco, inodoro, peso molecular: 61,83 g/mol, composição química: H3BO3, pureza mínima de 99,5%, característica adicional: reagente P.A. ACS, número de referência química: CAS 10043-35-3. Entregue em frasco com 500 g. Atenção: observar a unidade de medida do SIPAC e colocar múltiplo de 500 g.</t>
  </si>
  <si>
    <t xml:space="preserve">426587</t>
  </si>
  <si>
    <t xml:space="preserve">https://sipac.sig.ufal.br/sipac/visualizaMaterial.do?popup=true&amp;id=22684&amp;acao=12</t>
  </si>
  <si>
    <t xml:space="preserve">ÁCIDO BÓRICO P.A. ACS</t>
  </si>
  <si>
    <t xml:space="preserve">https://www.glasslab.com.br/reagentes-e-meios/acido-borico-pa-acs-500g</t>
  </si>
  <si>
    <t xml:space="preserve">https://www.biomedh.com.br/008143/acido-borico-pa-acs-1000gr.html</t>
  </si>
  <si>
    <t xml:space="preserve">https://chepplier.com/produto/acido-borico-b-174-1kg/</t>
  </si>
  <si>
    <t xml:space="preserve">CATMAT -415235- REAGENTE ANALÍTICO 2, ASPECTO FÍSICO: PÓ, COMPOSIÇÃO: ÁCIDO CALCONCARBOXÍLICO, CARACTERÍSTICAS ADICIONAIS: CAS 3737-95-9, FRASCO COM 25 G.</t>
  </si>
  <si>
    <t xml:space="preserve">415235</t>
  </si>
  <si>
    <t xml:space="preserve">https://sipac.sig.ufal.br/sipac/visualizaMaterial.do?popup=true&amp;id=23758&amp;acao=12</t>
  </si>
  <si>
    <t xml:space="preserve">ÁCIDO CALCONCARBOXÍLICO (CAL RED) FRACO 25 G</t>
  </si>
  <si>
    <t xml:space="preserve">Frascos</t>
  </si>
  <si>
    <t xml:space="preserve">https://www.acsreagentes.com.br/acido-calcon-carboxilico-pa-25g-acs-cientifica?utm_source=Site&amp;utm_medium=GoogleMerchant&amp;utm_campaign=GoogleMerchant&amp;gclid=Cj0KCQiAx6ugBhCcARIsAGNmMbil6GKdlrSopDQsK4EY-aEMcrk-J3SAEWbuZUII3aZP4zbRUSHL1PMaAvqrEALw_wcB</t>
  </si>
  <si>
    <t xml:space="preserve">https://www.glasslab.com.br/reagentes-e-meios/corantes-quimicos/acido-calcon-carboxilico-pa?parceiro=6858&amp;variant_id=4927&amp;gclid=Cj0KCQiAx6ugBhCcARIsAGNmMbiIQbOw4fNO9WGuogQgRKrGy46wsjGD8Zz-hrqst0dog1FZmK0sep8aApoNEALw_wcB</t>
  </si>
  <si>
    <t xml:space="preserve">https://www.didaticasp.com.br/produto/acido-calconcarboxilico-pa-5g-cas-3737-95-9.html</t>
  </si>
  <si>
    <t xml:space="preserve">CATMAT -351610- Ácido cítrico, aspecto físico cristal incolor, inodoro, sabor ácido agradável, fórmula química C6H8O7 anidro, peso molecular 192,13 g/mol, pureza mínima de 99,5%, característica adicional reagente P.A. ACS, número de referência química CAS 77-92-9. Fornecimento em Frasco de 500 g. Atenção: observar a unidade de medida do SIPAC e colocar múltiplo de 500 g.</t>
  </si>
  <si>
    <t xml:space="preserve">https://sipac.sig.ufal.br/sipac/visualizaMaterial.do?popup=true&amp;id=22685&amp;acao=12</t>
  </si>
  <si>
    <t xml:space="preserve">ÁCIDO CÍTRICO ANIDRO P.A. ACS</t>
  </si>
  <si>
    <t xml:space="preserve">https://www.lojasynth.com/reagentes-analiticosmaterias-primas/reagentes-analiticosmaterias-primas/acido-citrico-anidro-p-a-a-c-s</t>
  </si>
  <si>
    <t xml:space="preserve">https://www.glasslab.com.br/reagentes-e-meios/acido-citrico-anidro-pa-acs-500g</t>
  </si>
  <si>
    <t xml:space="preserve">https://www.noxsolutions.com.br/acido-citrico-anidro-pa-acs-500gr</t>
  </si>
  <si>
    <t xml:space="preserve">nox</t>
  </si>
  <si>
    <t xml:space="preserve">CATMAT -347336- Ácido clorídrico, aspecto físico líquido límpido, incolor/amarelado, fumegante, peso molecular 36,46 g/mol, fórmula química HCl, teor mínimo de 37%, característica adicional reagente P.A. ACS, número de referência química CAS 7647-01-0.</t>
  </si>
  <si>
    <t xml:space="preserve">347336</t>
  </si>
  <si>
    <t xml:space="preserve">https://sipac.sig.ufal.br/sipac/visualizaMaterial.do?popup=true&amp;id=22686&amp;acao=12</t>
  </si>
  <si>
    <t xml:space="preserve">ÁCIDO CLORÍDRICO P.A. ACS</t>
  </si>
  <si>
    <t xml:space="preserve">https://www.glasslab.com.br/reagentes-e-meios/acido-cloridrico-37-pa-acs-1l?parceiro=6858&amp;srsltid=Ad5pg_G7CScuFL1IUtRtl6konsrm12ychK1DaojJzJbpdp_FzObkSJpeREs</t>
  </si>
  <si>
    <t xml:space="preserve">53.276.010/0001-10</t>
  </si>
  <si>
    <t xml:space="preserve">https://myhexis.com.br/index.php?option=com_movimentacao&amp;op=PROD&amp;task=detalhar&amp;produto_id=HX0269-00005</t>
  </si>
  <si>
    <t xml:space="preserve">Hexis Científica LTDA</t>
  </si>
  <si>
    <t xml:space="preserve"> QHEMIS</t>
  </si>
  <si>
    <t xml:space="preserve">CATMAT - 391953 - Ácido etilenodiaminotetracético (edta), aspecto físico: pó branco cristalino, peso molecular: 292,24 g/mol, fórmula química: C10H16N2O8 (ácido, anidro), pureza mínima de 99%, característica adicional: reagente P.A., número de referência química: CAS 60-00-4. Fornecimento em Frasco de 500 g. Atenção: observar a unidade de medida do SIPAC e colocar múltiplo de 500 g.</t>
  </si>
  <si>
    <t xml:space="preserve">391953</t>
  </si>
  <si>
    <t xml:space="preserve">https://sipac.sig.ufal.br/sipac/visualizaMaterial.do?popup=true&amp;id=22689&amp;acao=12</t>
  </si>
  <si>
    <t xml:space="preserve">ÁCIDO ETILENODIAMINOTETRACÉTICO (EDTA) P.A.</t>
  </si>
  <si>
    <t xml:space="preserve">https://www.lojasynth.com/reagentes-analiticosmaterias-primas/reagentes-analiticosmaterias-primas/e-d-t-a-acido-p-a?variant_id=302785</t>
  </si>
  <si>
    <t xml:space="preserve">Loja Synth.</t>
  </si>
  <si>
    <t xml:space="preserve">CATMAT - 352687 - ÁCIDO FLUORÍDRICO, ASPECTO FÍSICO: LÍQUIDO INCOLOR, ODOR ÁCIDO, PESO MOLECULAR: 20,01 G,MOL, FÓRMULA QUÍMICA: HF, TEOR DE PUREZA: TEOR MÍNIMO DE 40%, CARACTERÍSTICA ADICIONAL: REAGENTE P.A., NÚMERO DE REFERÊNCIA QUÍMICA: CAS 7664-39-3</t>
  </si>
  <si>
    <t xml:space="preserve">352687</t>
  </si>
  <si>
    <t xml:space="preserve">https://sipac.sig.ufal.br/sipac/visualizaMaterial.do?popup=true&amp;id=25737&amp;acao=12</t>
  </si>
  <si>
    <t xml:space="preserve">ÁCIDO FLUORÍDRICO P.A.</t>
  </si>
  <si>
    <t xml:space="preserve">Ana Paula</t>
  </si>
  <si>
    <t xml:space="preserve">Hydrofluoric acid puriss. p.a., reag. ISO, reag. Ph. Eur., = 40 7664-39-3 (sigmaaldrich.com)</t>
  </si>
  <si>
    <t xml:space="preserve">CATMAT -352710- ÁCIDO FOSFÓRICO, ASPECTO FÍSICO LÍQUIDO INCOLOR, INODORO, FÓRMULA QUÍMICA H3PO4, PESO MOLECULAR 98,00 G/MOL, PUREZA MÍNIMA DE 85%, CARACTERÍSTICA ADICIONAL REAGENTE P.A., NÚMERO DE REFERÊNCIA QUÍMICA CAS 7664-38-2</t>
  </si>
  <si>
    <t xml:space="preserve">352710</t>
  </si>
  <si>
    <t xml:space="preserve">https://sipac.sig.ufal.br/sipac/visualizaMaterial.do?popup=true&amp;id=22690&amp;acao=12</t>
  </si>
  <si>
    <t xml:space="preserve">ÁCIDO FOSFÓRICO P.A. 85%</t>
  </si>
  <si>
    <t xml:space="preserve">sivaldo</t>
  </si>
  <si>
    <t xml:space="preserve">https://www.acsreagentes.com.br/acido-fosforico-orto-85-pa-acs-1l-acs-cientifica?utm_source=Site&amp;utm_medium=GoogleMerchant&amp;utm_campaign=GoogleMerchant</t>
  </si>
  <si>
    <t xml:space="preserve">https://www.myhexis.com.br/index.php?option=com_movimentacao&amp;op=PROD&amp;task=detalhar&amp;produto_id=HX0178-00002</t>
  </si>
  <si>
    <t xml:space="preserve">https://www.didaticasp.com.br/produto/acido-orto-fosforico-85-pa-1l-cas-7664-38-2-ssp.html</t>
  </si>
  <si>
    <t xml:space="preserve">CATMAT -346506- Ácido gálico composição química: C6H2(OH)3COOH.H2O aspecto físico: pó ou fino cristal branco ou bege, pureza mínima de 98% peso molecular: 188,14 g/mol, característica adicional: reagente P.A. número de referência química: CAS 5995-86-8, fornecimento em frasco de 100 g. Atenção: observar a unidade de medida do SIPAC e colocar múltiplo de 100 g.</t>
  </si>
  <si>
    <t xml:space="preserve">https://sipac.sig.ufal.br/sipac/visualizaMaterial.do?popup=true&amp;id=28176&amp;acao=12</t>
  </si>
  <si>
    <t xml:space="preserve">ACIDO GÁLICO (H2O) P.A.</t>
  </si>
  <si>
    <t xml:space="preserve">CATMAT -347320- ÁCIDO NÍTRICO, ASPECTO FÍSICO LÍQUIDO LÍMPIDO, INCOLOR A AMARELADO, ODOR SUFOCANTE, FÓRMULA QUÍMICA HNO3, PESO MOLECULAR 63,01, TEOR MÍNIMO 65%, CARACTERÍSTICA ADICIONAL REAGENTE P.A. ACS, NÚMERO DE REFERÊNCIA QUÍMICA CAS 7697-37-2.</t>
  </si>
  <si>
    <t xml:space="preserve">347320</t>
  </si>
  <si>
    <t xml:space="preserve">https://sipac.sig.ufal.br/sipac/visualizaMaterial.do?popup=true&amp;id=6757&amp;acao=12</t>
  </si>
  <si>
    <t xml:space="preserve">ÁCIDO NÍTRICO P.A. ACS</t>
  </si>
  <si>
    <t xml:space="preserve">https://www.myhexis.com.br/index.php?option=com_movimentacao&amp;op=PROD&amp;task=detalhar&amp;produto_id=HX0269-00007</t>
  </si>
  <si>
    <t xml:space="preserve">CATMAT - 347156 - Ácido oxálico, aspecto físico: cristal ou pó branco cristalino higroscópico, peso molecular: 126,07 g/mol, fórmula química: C2H2O4.2H2O, pureza mínima de 99,5%, característica adicional: reagente P.A. ACS, número de referência química: CAS 6153-56-6, entregue em frasco com 500 g. Atenção: observar a unidade de medida do SIPAC e colocar múltiplo de 500 g.</t>
  </si>
  <si>
    <t xml:space="preserve">https://sipac.sig.ufal.br/sipac/visualizaMaterial.do?popup=true&amp;id=20001&amp;acao=12</t>
  </si>
  <si>
    <t xml:space="preserve">ÁCIDO OXÁLICO (2H2O) P.A. ACS</t>
  </si>
  <si>
    <t xml:space="preserve">https://www.glasslab.com.br/reagentes-e-meios/acido-oxalico-cristal-2h2o-pa-500g?parceiro=6858&amp;srsltid=Ad5pg_F043tuxYUX2g7iDE9oKuFLCr72pNOOn0m1U5spM-QOkFUmdxJ-9_8</t>
  </si>
  <si>
    <t xml:space="preserve">https://www.orionprodutoscientificos.com.br/acido-oxalico-cristal-2h2o-pa-500g-exodo-cientifica?utm_source=Site&amp;utm_medium=GoogleMerchant&amp;utm_campaign=GoogleMerchant</t>
  </si>
  <si>
    <t xml:space="preserve">Exodo</t>
  </si>
  <si>
    <t xml:space="preserve">https://www.lojasynth.com/reagentes-analiticosmaterias-primas/reagentes-analiticosmaterias-primas/acido-oxalico-2h2o-p-a-a-c-s?parceiro=2827&amp;gclid=Cj0KCQiAgaGgBhC8ARIsAAAyLfG6c3oa_ghHHZQ8bgGzGbD6w_Rrk5KmLB3E2KAEumikfzDsXq2wnNwaAqhGEALw_wcB&amp;variant_id=301749</t>
  </si>
  <si>
    <t xml:space="preserve">synth</t>
  </si>
  <si>
    <t xml:space="preserve">CATMAT -366457- Ácido perclórico, aspecto físico líquido incolor ou levemente amarelado, peso molecular 100,46 g/mol, fórmula química HCLO4, grau de pureza concentração mínima de 70%, característica adicional reagente P.A., número de referência química CAS 7601-90-3.</t>
  </si>
  <si>
    <t xml:space="preserve">366457</t>
  </si>
  <si>
    <t xml:space="preserve">https://sipac.sig.ufal.br/sipac/visualizaMaterial.do?popup=true&amp;id=10606&amp;acao=12</t>
  </si>
  <si>
    <t xml:space="preserve">ÁCIDO PERCLÓRICO P.A.</t>
  </si>
  <si>
    <t xml:space="preserve">68.337.658/0001-27</t>
  </si>
  <si>
    <t xml:space="preserve">https://www.sigmaaldrich.com/BR/pt/product/sigald/244252</t>
  </si>
  <si>
    <t xml:space="preserve">SIGMA-ALDRICH BRASIL LTDA</t>
  </si>
  <si>
    <t xml:space="preserve">SIGMA-ALDRICH</t>
  </si>
  <si>
    <t xml:space="preserve">CATMAT -355518- Corante, tipo: conjunto coloração ácido periódico, schiff, aspecto físico: líquido, composição: solução ácido periódico, reagente schiff, componentes adicionais: hematoxilin. Kit de coloração suficiente para, no mínimo, 60 colorações.</t>
  </si>
  <si>
    <t xml:space="preserve">355518</t>
  </si>
  <si>
    <t xml:space="preserve">https://sipac.sig.ufal.br/sipac/visualizaMaterial.do?popup=true&amp;id=28190&amp;acao=12</t>
  </si>
  <si>
    <t xml:space="preserve">ÁCIDO PERIÓDICO SCHIFF (PAS)</t>
  </si>
  <si>
    <t xml:space="preserve">Conjuntos</t>
  </si>
  <si>
    <t xml:space="preserve"> CATMAT -389270- Ácido propiônico, peso molecular 74,08 g/mol, aspecto físico líquido límpido, incolor, fórmula química C3H6O2, pureza mínima de 99%, característica adicional reagente P.A., número de referência química: CAS 79-09-4. Entregue em frasco de vidro ambar. </t>
  </si>
  <si>
    <t xml:space="preserve">389270</t>
  </si>
  <si>
    <t xml:space="preserve">https://sipac.sig.ufal.br/sipac/visualizaMaterial.do?popup=true&amp;id=23024&amp;acao=12</t>
  </si>
  <si>
    <t xml:space="preserve">ÁCIDO PROPIÔNICO P.A.</t>
  </si>
  <si>
    <t xml:space="preserve">CATMAT -380384- Ácido sulfúrico, aspecto físico: líquido incolor, inodoro, viscoso, cristalino, fórmula química: H2SO4, massa molecular: 98,09 g/mol, pureza mínima de 95%, característica adicional: reagente P.A. ACS, número de referência química: CAS 7664-93-9.</t>
  </si>
  <si>
    <t xml:space="preserve">380384</t>
  </si>
  <si>
    <t xml:space="preserve">https://sipac.sig.ufal.br/sipac/visualizaMaterial.do?popup=true&amp;id=23027&amp;acao=12</t>
  </si>
  <si>
    <t xml:space="preserve">ÁCIDO SULFÚRICO P.A. ACS</t>
  </si>
  <si>
    <t xml:space="preserve">https://myhexis.com.br/index.php?option=com_movimentacao&amp;op=PROD&amp;task=detalhar&amp;produto_id=HX0269-00008</t>
  </si>
  <si>
    <t xml:space="preserve">https://www.glasslab.com.br/reagentes-e-meios/acido-sulfurico-95-98-pa-acs-1l</t>
  </si>
  <si>
    <t xml:space="preserve">https://www.didaticasp.com.br/produto/acido-sulfurico-pa-acs-1l-cas-7664-93-9-pfssp-concentracao-98-densidade-184.html</t>
  </si>
  <si>
    <t xml:space="preserve">CATMAT - 412736 - Ácido tricloroacético, aspecto físico: cristais brancos, fórmula química: CCl3COOH, massa molecular: 163,39 g/mol, pureza mínima de 99%, característica adicional: reagente P.A. ACS, número de referência química: CAS 76-03-9, entregue em frasco de 500 g. Atenção: observar a unidade de medida do SIPAC e colocar múltiplo de 500 g.</t>
  </si>
  <si>
    <t xml:space="preserve">412736</t>
  </si>
  <si>
    <t xml:space="preserve">https://sipac.sig.ufal.br/sipac/visualizaMaterial.do?popup=true&amp;id=15923&amp;acao=12</t>
  </si>
  <si>
    <t xml:space="preserve">ÁCIDO TRICLOROACÉTICO P.A. ACS</t>
  </si>
  <si>
    <t xml:space="preserve">https://www.glasslab.com.br/reagentes-e-meios/acido-tricloroacetico-pa-acs-500g?parceiro=6858&amp;gclid=Cj0KCQiAgaGgBhC8ARIsAAAyLfEJMZZ1Qq2aGQKQjOXZ4IQ45YGMcHlzVLwpT_R1PEwHb4N6HjYW7GoaAnwIEALw_wcB</t>
  </si>
  <si>
    <t xml:space="preserve">https://www.acsreagentes.com.br/acido-tricloroacetico-pa-acs-100g-acs-cientifica?utm_source=Site&amp;utm_medium=GoogleMerchant&amp;utm_campaign=GoogleMerchant</t>
  </si>
  <si>
    <t xml:space="preserve"> Acs</t>
  </si>
  <si>
    <t xml:space="preserve">17.524.672/0001-07 </t>
  </si>
  <si>
    <t xml:space="preserve">https://www.lojanetlab.com.br/acido-tricloroacetico-pa-acs-100gr-dinamica</t>
  </si>
  <si>
    <t xml:space="preserve">dinamica</t>
  </si>
  <si>
    <t xml:space="preserve">CATMAT -387015- ÁGAR BACTERIOLÓGICO (ÁGAR ÁGAR), ASPECTO FÍSICO: PÓ. EM FRASCOS COM 500 G</t>
  </si>
  <si>
    <t xml:space="preserve">387015</t>
  </si>
  <si>
    <t xml:space="preserve">https://sipac.sig.ufal.br/sipac/visualizaMaterial.do?popup=true&amp;id=23003&amp;acao=12</t>
  </si>
  <si>
    <t xml:space="preserve">ÁGAR BACTERIOLÓGICO (ÁGAR ÁGAR) FRASCO 500G</t>
  </si>
  <si>
    <t xml:space="preserve">Ana R</t>
  </si>
  <si>
    <t xml:space="preserve">https://www.lojanetlab.com.br/agar-bacteriologico-kasvi-k25-611001?parceiro=7105&amp;gclid=Cj0KCQiAgaGgBhC8ARIsAAAyLfFdlSt4hkidcwL-sG4NlTI_cQhbiN9-3xsWDd4S4sgjCMzUoEiEJDoaAlD8EALw_wcB</t>
  </si>
  <si>
    <t xml:space="preserve">Netlab Equipamentos Para Laboratorios EIRELI</t>
  </si>
  <si>
    <t xml:space="preserve">Kasvi</t>
  </si>
  <si>
    <t xml:space="preserve">https://www.orionprodutoscientificos.com.br/agar-grau-bacteriologico-frasco-500g-himedia?utm_source=Site&amp;utm_medium=GoogleMerchant&amp;utm_campaign=GoogleMerchant</t>
  </si>
  <si>
    <t xml:space="preserve">Himedia</t>
  </si>
  <si>
    <t xml:space="preserve">https://www.glasslab.com.br/reagentes-e-meios/agar-bacteriologico-frasco-500g-ref-k25-1800-kasvi?parceiro=6858&amp;gclid=Cj0KCQiAgaGgBhC8ARIsAAAyLfGr8c2oMN-Nt3ldWB4VtAcBV0rGulaAh8H_uldXvsDG9n1h-HnIWhgaAvwjEALw_wcB</t>
  </si>
  <si>
    <t xml:space="preserve">Glasslab Artigos para Laboratorio Ltda</t>
  </si>
  <si>
    <t xml:space="preserve">CATMAT -326286- Meio de cultura, tipo: ágar base Columbia, apresentação: pó, frasco 500 g.</t>
  </si>
  <si>
    <t xml:space="preserve">326286</t>
  </si>
  <si>
    <t xml:space="preserve">https://sipac.sig.ufal.br/sipac/visualizaMaterial.do?popup=true&amp;id=28223&amp;acao=12</t>
  </si>
  <si>
    <t xml:space="preserve">ÁGAR BASE COLUMBIA FRASCO 500 G</t>
  </si>
  <si>
    <t xml:space="preserve">https://www.orionprodutoscientificos.com.br/agar-base-sangue-columbia-frasco-500g-himedia?utm_source=Site&amp;utm_medium=GoogleMerchant&amp;utm_campaign=GoogleMerchant</t>
  </si>
  <si>
    <t xml:space="preserve">02.853.180/0001-80</t>
  </si>
  <si>
    <t xml:space="preserve">https://www.lkpdiagnosticos.com.br/meios-de-cultura/7125-agar-base-sangue-columbia-columbia-blood-agar-base-500g?parceiro=3898</t>
  </si>
  <si>
    <t xml:space="preserve">LKP PRODUTOS PARA DIAGNÓSTICOS LTDA</t>
  </si>
  <si>
    <t xml:space="preserve">ACUMEDIA </t>
  </si>
  <si>
    <t xml:space="preserve">08.845.041/0001-90</t>
  </si>
  <si>
    <t xml:space="preserve">https://www.forlabexpress.com.br/agar-base-columbia-frasco-500g-himedia</t>
  </si>
  <si>
    <t xml:space="preserve">Brazdi Importacao, Exportacao, Comercio e Servicos de Produtos Laboratoriais LTDA</t>
  </si>
  <si>
    <t xml:space="preserve">CATMAT - 405927 Descrição: Meio de cultura., tipo: ágar bile esculina, aspecto físico: pó. Frasco com 500 G</t>
  </si>
  <si>
    <t xml:space="preserve">405927</t>
  </si>
  <si>
    <t xml:space="preserve">https://sipac.sig.ufal.br/sipac/visualizaMaterial.do?popup=true&amp;id=25889&amp;acao=12</t>
  </si>
  <si>
    <t xml:space="preserve">ÁGAR BILE ESCULINA 500 G</t>
  </si>
  <si>
    <t xml:space="preserve">https://www.forlabexpress.com.br/agar-bile-esculina-500g-kasvi?parceiro=3512&amp;srsltid=Ad5pg_HHs8pm4x3ZB628a8px8vBauvbowx_x52Xla4UfOTscMzDj6r618xI</t>
  </si>
  <si>
    <t xml:space="preserve">https://www.orionprodutoscientificos.com.br/agar-bile-esculina-frasco-500g-himedia</t>
  </si>
  <si>
    <t xml:space="preserve">48.598.000/0001-61</t>
  </si>
  <si>
    <t xml:space="preserve">https://www.biosynesis.com.br/produto/agar-bile-esculina-frasco-500g.html?srsltid=Ad5pg_EFT-hbHeuflvcR4wHoDW_jHi0khyP-nT7ZNAKXDS3Y_YN3CkUq9vg</t>
  </si>
  <si>
    <t xml:space="preserve">BIOSYNESIS EQUIPAMENTOS E PRODUTOS LABORATORIAIS LTDA </t>
  </si>
  <si>
    <t xml:space="preserve">CATMAT - 326814 Descrição: Meio de cultura, tipo: ágar lisina ferro, apresentação: pó, frasco com 500 g</t>
  </si>
  <si>
    <t xml:space="preserve">326814</t>
  </si>
  <si>
    <t xml:space="preserve">https://sipac.sig.ufal.br/sipac/visualizaMaterial.do?popup=true&amp;id=25894&amp;acao=12</t>
  </si>
  <si>
    <t xml:space="preserve">AGAR LISINA FERRO (LIA) 500G</t>
  </si>
  <si>
    <t xml:space="preserve">https://www.orionprodutoscientificos.com.br/agar-lisina-ferro-lia-frasco-500g-himedia?utm_source=Site&amp;utm_medium=GoogleMerchant&amp;utm_campaign=GoogleMerchant</t>
  </si>
  <si>
    <t xml:space="preserve">https://www.forlabexpress.com.br/agar-lisina-ferro-lia-kasvi-frasco-500g?parceiro=3512&amp;srsltid=Ad5pg_HKdi4EkWJqpqY_-SoLlj7JhOefYtwOPlUJF_piSUc7E7oilDJrbNE</t>
  </si>
  <si>
    <t xml:space="preserve">https://www.lojanetlab.com.br/meios-de-cultura/agar/agar-lisina-ferro-lia-frasco-500g-k25-610027-kasvi</t>
  </si>
  <si>
    <t xml:space="preserve">KASVI</t>
  </si>
  <si>
    <t xml:space="preserve">CATMAT - 326284 Descrição: Meio de cultura, tipo: ágar macconkey, apresentação: pó. Frasco com 500 G</t>
  </si>
  <si>
    <t xml:space="preserve">326284</t>
  </si>
  <si>
    <t xml:space="preserve">https://sipac.sig.ufal.br/sipac/visualizaMaterial.do?popup=true&amp;id=25895&amp;acao=12</t>
  </si>
  <si>
    <t xml:space="preserve">ÁGAR MACCONKEY 500 G</t>
  </si>
  <si>
    <t xml:space="preserve">https://www.orionprodutoscientificos.com.br/caldo-mac-conkey-frasco-500g-himedia?utm_source=Site&amp;utm_medium=GoogleMerchant&amp;utm_campaign=GoogleMerchant</t>
  </si>
  <si>
    <t xml:space="preserve">https://www.glasslab.com.br/reagentes-e-meios/agar-mac-conkey-frasco-500g-k25-1052-kasvi?parceiro=6858&amp;srsltid=Ad5pg_EkeMcyE1oDGKIfWcJWkVN-RKaMGRRms2ROh4yU9vMWkCqssKD9PvE</t>
  </si>
  <si>
    <t xml:space="preserve">https://www.forlabexpress.com.br/agar-mac-conkey-kasvi-frasco-500g?parceiro=3512&amp;srsltid=Ad5pg_GLv-hLqwOLV81Ni6UlugyaYZDiy1VBo_OK65z26IBoru0trDfF07I</t>
  </si>
  <si>
    <t xml:space="preserve">CATMAT -326282-Ágar Mueller Hinton, Meio de cultura, apresentação: pó Frasco 500 g</t>
  </si>
  <si>
    <t xml:space="preserve">326282</t>
  </si>
  <si>
    <t xml:space="preserve">https://sipac.sig.ufal.br/sipac/visualizaMaterial.do?popup=true&amp;id=23010&amp;acao=12</t>
  </si>
  <si>
    <t xml:space="preserve">ÁGAR MUELLER HINTON - FRASCO DE 500 G</t>
  </si>
  <si>
    <t xml:space="preserve">https://www.glasslab.com.br/reagentes-e-meios/agar-mueller-hinton-frasco-500g-ref-k25-1058-kasvi?parceiro=6858&amp;gclid=Cj0KCQiAgaGgBhC8ARIsAAAyLfGBteTTiKBrXyKugZcdQr-bxHBJwzd-aOsqkVuWwOIOrbxPVms5uzwaAkwxEALw_wcB</t>
  </si>
  <si>
    <t xml:space="preserve">https://www.orionprodutoscientificos.com.br/agar-mueller-hinton-frasco-500g-himedia?utm_source=Site&amp;utm_medium=GoogleMerchant&amp;utm_campaign=GoogleMerchant</t>
  </si>
  <si>
    <t xml:space="preserve">https://www.lojanetlab.com.br/meios-de-cultura/agar/agar-mueller-hinton-frasco-500g-ref-k25-610033-kasvi</t>
  </si>
  <si>
    <t xml:space="preserve">CATMAT -326297- Meio de cultura, tipo ágar Sabouraud dextrose 4%, apresentação pó, frasco 500 g.</t>
  </si>
  <si>
    <t xml:space="preserve">326297</t>
  </si>
  <si>
    <t xml:space="preserve">https://sipac.sig.ufal.br/sipac/visualizaMaterial.do?popup=true&amp;id=30621&amp;acao=12</t>
  </si>
  <si>
    <t xml:space="preserve">ÁGAR SABOURAUD DEXTROSE 4%, APRESENTAÇÃO PÓ, FRASCO 500 G.</t>
  </si>
  <si>
    <t xml:space="preserve">https://www.lojanetlab.com.br/meios-de-cultura/agar/agar-sabouraud-dextrose-frasco-500g-k25-610103-kasvi</t>
  </si>
  <si>
    <t xml:space="preserve">01.151.850/0001-53 </t>
  </si>
  <si>
    <t xml:space="preserve">https://ludwigbiotec.com.br/loja/produto/agar-sabouraud-dextrose-500-g/146</t>
  </si>
  <si>
    <t xml:space="preserve">08.845.041/0001-90 </t>
  </si>
  <si>
    <t xml:space="preserve">https://www.forlabexpress.com.br/agar-sabouraud-dextrose-kasvi-frasco-500g</t>
  </si>
  <si>
    <t xml:space="preserve">BRAZDI IMPORTACAO, EXPORTACAO, COMERCIO E SERVICOS DE PRODUTOS LABORATORIAIS LTD</t>
  </si>
  <si>
    <t xml:space="preserve">CATMAT -326299- Meio de cultura, tipo: ágar sangue, apresentação: pó, frasco 500 g</t>
  </si>
  <si>
    <t xml:space="preserve">326299</t>
  </si>
  <si>
    <t xml:space="preserve">https://sipac.sig.ufal.br/sipac/visualizaMaterial.do?popup=true&amp;id=28193&amp;acao=12</t>
  </si>
  <si>
    <t xml:space="preserve">ÁGAR SANGUE FRASCO DE 500 G</t>
  </si>
  <si>
    <t xml:space="preserve">https://www.forlabexpress.com.br/agar-sangue-base-frasco-500g-himedia</t>
  </si>
  <si>
    <t xml:space="preserve">https://www.lojanetlab.com.br/meios-de-cultura/agar/agar-sangue-base-frasco-500g-k25-610005-kasvi</t>
  </si>
  <si>
    <t xml:space="preserve">21.340.859/0001-10</t>
  </si>
  <si>
    <t xml:space="preserve">https://www.dsyslab.com.br/meios-de-cultura/agar-em-po-desidratado/agar-sangue-base-agar-infusao-frasco-com-500-gramas-himedia</t>
  </si>
  <si>
    <t xml:space="preserve">DSYSLAB PRODUTOS E EQUIPAMENTOS PARA LABORATORIOS, CLINICAS E HOSPITAIS LTDA</t>
  </si>
  <si>
    <t xml:space="preserve">CATMAT -326812- Meio de cultura, tipo: ágar sim, apresentação: pó, frasco 500 g</t>
  </si>
  <si>
    <t xml:space="preserve">326812</t>
  </si>
  <si>
    <t xml:space="preserve">https://sipac.sig.ufal.br/sipac/visualizaMaterial.do?popup=true&amp;id=28194&amp;acao=12</t>
  </si>
  <si>
    <t xml:space="preserve">ÁGAR SIM FRASCO DE 500 G</t>
  </si>
  <si>
    <t xml:space="preserve">16.685.538/0001-17</t>
  </si>
  <si>
    <t xml:space="preserve">https://www.outlet.sinergiacientifica.com.br/microbiologia/agar-sim-medium-500g?parceiro=8522</t>
  </si>
  <si>
    <t xml:space="preserve">SINERGIA COMERCIO E REPRESENTACAO DE PRODUTOS PARA LABORATORIOS LTDA</t>
  </si>
  <si>
    <t xml:space="preserve">Acumedia</t>
  </si>
  <si>
    <t xml:space="preserve">02.853.180/0001-80 </t>
  </si>
  <si>
    <t xml:space="preserve">https://www.lkpdiagnosticos.com.br/meios-de-cultura/7221-agar-sim-sim-medium-500g?parceiro=3898</t>
  </si>
  <si>
    <t xml:space="preserve">27.376.022/0001-07</t>
  </si>
  <si>
    <t xml:space="preserve">https://www.primecirurgica.com.br/meio-sim-frasco-500gr-kasvi-p3202/p</t>
  </si>
  <si>
    <t xml:space="preserve">Prime Cirurgica Importadora e Distribuidora de Mercadorias e Equipamentos Medicos e Hospitalares LTDA</t>
  </si>
  <si>
    <t xml:space="preserve">CATMAT -326303- Meio de cultura, tipo: ágar tsi, apresentação: pó, frasco 500 g</t>
  </si>
  <si>
    <t xml:space="preserve">326303</t>
  </si>
  <si>
    <t xml:space="preserve">https://sipac.sig.ufal.br/sipac/visualizaMaterial.do?popup=true&amp;id=28201&amp;acao=12</t>
  </si>
  <si>
    <t xml:space="preserve">ÁGAR TSI FRASCO DE 500 G</t>
  </si>
  <si>
    <t xml:space="preserve">https://www.forlabexpress.com.br/agar-triplice-acucar-ferro-tsi-frasco-500g-himedia</t>
  </si>
  <si>
    <t xml:space="preserve">https://ludwigbiotec.com.br/loja/produto/agar-triplice-acucar-ferro-tsi/152</t>
  </si>
  <si>
    <t xml:space="preserve">https://www.lojanetlab.com.br/meios-de-cultura/agar/agar-triplice-acucar-ferro-tsi-frasco-500g-k25-610055-kasvi</t>
  </si>
  <si>
    <t xml:space="preserve">CATMAT -326867- Meio de cultura, tipo: ágar ureia de christensen, apresentação: pó, frasco 500 g</t>
  </si>
  <si>
    <t xml:space="preserve">326867</t>
  </si>
  <si>
    <t xml:space="preserve">https://sipac.sig.ufal.br/sipac/visualizaMaterial.do?popup=true&amp;id=28224&amp;acao=12</t>
  </si>
  <si>
    <t xml:space="preserve">AGAR UREIA BASE (CHRISTENSEN) 500G</t>
  </si>
  <si>
    <t xml:space="preserve">https://www.dsyslab.com.br/meios-de-cultura/agar-em-po-desidratado/agar-base-ureia-christensen-frasco-com-500-gramas-himedia</t>
  </si>
  <si>
    <t xml:space="preserve">https://ludwigbiotec.com.br/loja/produto/agar-ureia-base-500-g/155</t>
  </si>
  <si>
    <t xml:space="preserve">https://www.forlabexpress.com.br/agar-ureia-base-kasvi-frasco-500g</t>
  </si>
  <si>
    <t xml:space="preserve">AGAROSE, ASPECTO FÍSICO: PÓ, TIPO: DE BAIXO PONTO DE FUSÃO, CARACTERÍSTICAS ADICIONAIS: LIVRE DE DNASE E RNASE, RESISTÊNCIA: MAIOR OU IGUAL A 200 G,CM² (GEL A 1%) - (IDEAL PARA ROTINAS LABORATORIAIS DE ANALISES DE ÁCIDOS NUCLEICOS EM ELETROFORESE DE GEL. ADEQUADO PARA ROTINAS DE ELETROFORESE DE FRAGMENTOS DE ÁCIDO NUCLEICO ENTRE 500-23.000PB). TEMPERATURA DE GELIFICAÇÃO 36ºC +/-1.5/ LIVRE DE DNASE E RNASE. TEMPERATURA DE ESTOCAGEM 18 - 26ºC. FRASCO COM 500 GRAMAS</t>
  </si>
  <si>
    <t xml:space="preserve">328135</t>
  </si>
  <si>
    <t xml:space="preserve">MATERIAIS HOSPITALARES</t>
  </si>
  <si>
    <t xml:space="preserve">https://sipac.sig.ufal.br/sipac/visualizaMaterial.do?popup=true&amp;id=31091&amp;acao=12</t>
  </si>
  <si>
    <t xml:space="preserve">Agarose, Livre de DNASE e RNASE</t>
  </si>
  <si>
    <t xml:space="preserve">CATMAT -392832- Meio de cultura, tipo: água peptonada tamponada, apresentação: pó 500g</t>
  </si>
  <si>
    <t xml:space="preserve">392832</t>
  </si>
  <si>
    <t xml:space="preserve">https://sipac.sig.ufal.br/sipac/visualizaMaterial.do?popup=true&amp;id=28225&amp;acao=12</t>
  </si>
  <si>
    <t xml:space="preserve">ÁGUA PEPTONADA TAMPONADA FRASCO 500 G</t>
  </si>
  <si>
    <t xml:space="preserve">https://www.forlabexpress.com.br/agua-peptona-tamponada-kasvi-frasco-500g</t>
  </si>
  <si>
    <t xml:space="preserve"> Kasvi</t>
  </si>
  <si>
    <t xml:space="preserve">https://www.lkpdiagnosticos.com.br/meios-de-cultura/k25-611014-agua-peptona-tamponada-frasco-500g</t>
  </si>
  <si>
    <t xml:space="preserve">https://ludwigbiotec.com.br/loja/produto/agua-peptona-tamponada-500-g/212</t>
  </si>
  <si>
    <t xml:space="preserve">CATMAT -327370- CORANTE, TIPO: ALARANJADO DE METILA, ASPECTO FÍSICO: PÓ, CARACTERÍSTICAS ADICIONAIS: CI 13025. FRASCO COM 25G</t>
  </si>
  <si>
    <t xml:space="preserve">327370</t>
  </si>
  <si>
    <t xml:space="preserve">https://sipac.sig.ufal.br/sipac/visualizaMaterial.do?popup=true&amp;id=23371&amp;acao=12</t>
  </si>
  <si>
    <t xml:space="preserve">ALARANJADO DE METILA FRASCO 25 G</t>
  </si>
  <si>
    <t xml:space="preserve">https://www.noxsolutions.com.br/alaranjado-de-metila-pa-25g</t>
  </si>
  <si>
    <t xml:space="preserve">NOX SOLUTIONS INDUSTRIA E COMERCIO DE PRODUTOS QUIMICOS LTDA</t>
  </si>
  <si>
    <t xml:space="preserve">https://www.orionprodutoscientificos.com.br/alaranjado-de-metila-p-a-acs-25-g-fabricante-neon</t>
  </si>
  <si>
    <t xml:space="preserve">ORION PRODUTOS E SERVIÇOS DE LABORATORIO </t>
  </si>
  <si>
    <t xml:space="preserve">https://www.lojanetlab.com.br/reagentes/pa/alaranjado-de-metila-pa-acs-25g</t>
  </si>
  <si>
    <t xml:space="preserve">CATMAT -380790- Álcool butílico, aspecto físico: líquido límpido, incolor, odor forte característico, peso molecular: 74,12 g/mol, fórmula química: C4H9OH normal (1-butanol), pureza mínima de 99,4%, característica adicional: reagente P.A. ACS, número de referência química: CAS 71-36-3.</t>
  </si>
  <si>
    <t xml:space="preserve">380790</t>
  </si>
  <si>
    <t xml:space="preserve">https://sipac.sig.ufal.br/sipac/visualizaMaterial.do?popup=true&amp;id=23000&amp;acao=12</t>
  </si>
  <si>
    <t xml:space="preserve">ÁLCOOL BUTÍLICO NORMAL (1-BUTANOL) P.A. ACS</t>
  </si>
  <si>
    <t xml:space="preserve">https://www.acsreagentes.com.br/alcool-butilico-normal-paacs-butanol-1-1l-acs-cientifica?utm_source=Site&amp;utm_medium=GoogleMerchant&amp;utm_campaign=GoogleMerchant</t>
  </si>
  <si>
    <t xml:space="preserve">https://www.glasslab.com.br/reagentes-e-meios/alcool-butilico-normal-pa-acs-1l?parceiro=6858&amp;srsltid=Ad5pg_FP7ZhKAQbP7gPlEN5NaJiRmUuFh7aNukVQ6ZrzsBb1t6nnSrJSTB0</t>
  </si>
  <si>
    <t xml:space="preserve">https://www.labimport.com.br/reagentes/alcool-butilico/alcool-butilico-normal-pa-acs-butanol-1-1-l</t>
  </si>
  <si>
    <t xml:space="preserve">LAB IMPORT - IMPORTACAO E EXPORTACAO DE EQUIPAMENTOS LTDA</t>
  </si>
  <si>
    <t xml:space="preserve">CATMAT -405780 - ÁLCOOL ETÍLICO, ASPECTO FÍSICO LÍQUIDO LÍMPIDO, INCOLOR, VOLÁTIL, TEOR ALCOÓLICO MÍNIMO DE 77 ¨GL (77% V/V A 20 ¨C), FÓRMULA QUÍMICA C2H5OH, PESO MOLECULAR 46,07, GRAU DE PUREZA MÍNIMO DE 70 INPM (70% P/P), CARACTERÍSTICA ADICIONAL HIDRATADO, NÚMERO DE REFERÊNCIA QUÍMICA CAS 64-17-5. EMBALAGEM DE 5L OU DE 1L, DEFINIDO PELO REQUISITANTE NO EMPENHO.</t>
  </si>
  <si>
    <t xml:space="preserve">405780</t>
  </si>
  <si>
    <t xml:space="preserve">https://sipac.sig.ufal.br/sipac/visualizaMaterial.do?popup=true&amp;id=28202&amp;acao=12</t>
  </si>
  <si>
    <t xml:space="preserve">ÁLCOOL ETÍLICO 70 %</t>
  </si>
  <si>
    <t xml:space="preserve"> 47.067.658/0001-84</t>
  </si>
  <si>
    <t xml:space="preserve">https://www.theravita.com.br/alcool-70-liquido-1-l-sol?gclid=Cj0KCQiApKagBhC1ARIsAFc7Mc60lFUvffRPPUXoRKy6-DP6DAB_tuG-bxOvHV8UFph5hs2cBfP-3-0aAoSmEALw_wcB</t>
  </si>
  <si>
    <t xml:space="preserve"> Theravita Produtos Médicos e Ortopédicos Ltda</t>
  </si>
  <si>
    <t xml:space="preserve">SOL</t>
  </si>
  <si>
    <t xml:space="preserve">05.577.401/0001-22</t>
  </si>
  <si>
    <t xml:space="preserve">https://www.otimadistribuidora.com.br/material-de-limpeza/saneantes/alcool-70-1000ml-itaja?parceiro=1129&amp;gclid=Cj0KCQiApKagBhC1ARIsAFc7Mc7UGepgaiQnv4ivUeUa98Q3hB-c5vS1DEN4G0OcSAHptvbRuemEPLEaAoiFEALw_wcB</t>
  </si>
  <si>
    <t xml:space="preserve">Otima Distribuidora Medica Hospitalar Ltda</t>
  </si>
  <si>
    <t xml:space="preserve">ITAJÁ</t>
  </si>
  <si>
    <t xml:space="preserve">37.409.075/0001-30 </t>
  </si>
  <si>
    <t xml:space="preserve">https://www.alexfarma.com.br/alcool-70--cruzeiro-1lt/p?idsku=222</t>
  </si>
  <si>
    <t xml:space="preserve">Farmácia Yanomelo Ltda</t>
  </si>
  <si>
    <t xml:space="preserve">CRUZEIRO</t>
  </si>
  <si>
    <t xml:space="preserve">CATMAT - 357239 - Álcool etílico, aspecto físico: líquido límpido, incolor, volátil, teor alcoólico: mínimo de 99,5°GL, fórmula química: C2H5OH, peso molecular: 46,07 g/mol, característica adicional: absoluto, reagente P.A. ACS, número de referência química: CAS 64-17-5.</t>
  </si>
  <si>
    <t xml:space="preserve">357239</t>
  </si>
  <si>
    <t xml:space="preserve">https://sipac.sig.ufal.br/sipac/visualizaMaterial.do?popup=true&amp;id=2081&amp;acao=12</t>
  </si>
  <si>
    <t xml:space="preserve">ÁLCOOL ETÍLICO ABSOLUTO P.A. ACS</t>
  </si>
  <si>
    <t xml:space="preserve">https://www.biomedh.com.br/007017/alcool-etilico-absoluto-995-frplast-pa-1000ml.html</t>
  </si>
  <si>
    <t xml:space="preserve">https://www.acsreagentes.com.br/alcool-etilico-absoluto-998-pa-acs-1l-frasco-de-vidro-acs-cientifica?utm_source=Site&amp;utm_medium=GoogleMerchant&amp;utm_campaign=GoogleMerchant</t>
  </si>
  <si>
    <t xml:space="preserve">https://www.dsyslab.com.br/reagentes/alcool-etilico-absoluto-pa-99-8-cas-64-17-5-onu-1170-frasco-plastico-com-1l-ae06689ra-exodo?parceiro=7063&amp;srsltid=Ad5pg_G06enaUv73CInZIBc0P1YU1rmXP3q8Vzyr7E8XO-o-UgY03Ia8g_AA</t>
  </si>
  <si>
    <t xml:space="preserve">Êxodo</t>
  </si>
  <si>
    <t xml:space="preserve">CATMAT -445457- Álcool etílico, aspecto físico: líquido, fórmula química: C2H5OH, peso molecular: 46,07 g/mol, pureza mínima de 99,8%, característica adicional: absoluto, reagente P.A. ACS ISO, número de referência química: CAS 64-17-5</t>
  </si>
  <si>
    <t xml:space="preserve">445457</t>
  </si>
  <si>
    <t xml:space="preserve">https://sipac.sig.ufal.br/sipac/visualizaMaterial.do?popup=true&amp;id=28211&amp;acao=12</t>
  </si>
  <si>
    <t xml:space="preserve">ÁLCOOL ETÍLICO P.A. ACS ISO</t>
  </si>
  <si>
    <t xml:space="preserve">https://www.orionprodutoscientificos.com.br/alcool-etilico-absoluto-p-a-acs-iso-1l-fabricante-exodo-cientifica?utm_source=Site&amp;utm_medium=GoogleMerchant&amp;utm_campaign=GoogleMerchant</t>
  </si>
  <si>
    <t xml:space="preserve">https://www.glasslab.com.br/reagentes-e-meios/alcool-etilico-abs-pa-acs-iso-99-100-1l?parceiro=6858&amp;srsltid=Ad5pg_Eeitz-bZ82cmVWtgwg0yeX9BAdyLSjN-Jx9aGt7b7RdIOQgXmcDB8</t>
  </si>
  <si>
    <t xml:space="preserve">CATMAT - 444849 - ÁLCOOL ETÍLICO, ASPECTO FÍSICO: LÍQUIDO, FÓRMULA QUÍMICA: C2H6O, PESO MOLECULAR: 46,07 G,MOL, GRAU DE PUREZA: PUREZA MÍNIMA DE 96%, NÚMERO DE REFERÊNCIA QUÍMICA: CAS 64-17-5L, NO MOMENTO DA REQUISITAÇÃO O REQUISITANTE DEVERÁ INFORMAR SE SERÁ ENTREGUE EM GARRAFA DE 1 L OU GALÃO DE 5 L.</t>
  </si>
  <si>
    <t xml:space="preserve">444849</t>
  </si>
  <si>
    <t xml:space="preserve">https://sipac.sig.ufal.br/sipac/visualizaMaterial.do?popup=true&amp;id=23097&amp;acao=12</t>
  </si>
  <si>
    <t xml:space="preserve">ÁLCOOL ETÍLICO PUREZA MÍNIMA 96 %</t>
  </si>
  <si>
    <t xml:space="preserve">63.007.777/0001-06</t>
  </si>
  <si>
    <t xml:space="preserve">https://www.dentalmaster.com.br/alcool-etilico-hidratado-96----prolink/p?idsku=2008560</t>
  </si>
  <si>
    <t xml:space="preserve">MASTER SBG PRODUTOS ODONTOLOGICOS LTDA</t>
  </si>
  <si>
    <t xml:space="preserve">Prolink</t>
  </si>
  <si>
    <t xml:space="preserve">13.612.214/0001-60</t>
  </si>
  <si>
    <t xml:space="preserve">https://www.dentalspeed.com/modelo/alcool-prolink-96-1l-prolink-15275?srsltid=Ad5pg_FBMZBG7qODa1kfZ8Qsl8yj_jR4L-GHsKQ9J81ds0AOxfNcXIp87tg</t>
  </si>
  <si>
    <t xml:space="preserve">QUANTITY SERVICOS E COMERCIO DE PRODUTOS PARA SAUDE S.A.</t>
  </si>
  <si>
    <t xml:space="preserve">00.800.957/0001-12 </t>
  </si>
  <si>
    <t xml:space="preserve">https://www.quanticaw.com.br/alcool-96-1litro-p67</t>
  </si>
  <si>
    <t xml:space="preserve">Quântica W Distribuidora de Produtos Médicos e Hospitalares em Porto Alegre</t>
  </si>
  <si>
    <t xml:space="preserve">CATMAT -348275- ALCOOL ISOPROPILICO P.A. - PUREZA MÍNIMA: 99%; - GRAU: GRAU ANALÍTICO; - OBS.: O REAGENTE DEVERÁ VIR ACOMPANHADO DO LAUDO DO FABRICANTE COM NO MÍNIMO A ESPECIFICAÇÃO LISTADA ACIMA, FICHA TÉCNICA DE SEGURANÇA E NORMAS DE ACONDICIONAMENTO.</t>
  </si>
  <si>
    <t xml:space="preserve">https://sipac.sig.ufal.br/sipac/visualizaMaterial.do?popup=true&amp;id=30787&amp;acao=12</t>
  </si>
  <si>
    <t xml:space="preserve">ALCOOL ISOPROPILICO P.A</t>
  </si>
  <si>
    <t xml:space="preserve">https://www.acsreagentes.com.br/alcool-propilico-iso-pa-acs-2-propanol-1l-acs-cientifica?utm_source=Site&amp;utm_medium=GoogleMerchant&amp;utm_campaign=GoogleMerchant&amp;gclid=Cj0KCQiAx6ugBhCcARIsAGNmMbj4avjfB7pQZTvzDNs2HGPbvviFhLAIrOMOi0YPUOj18x2hPOivFW8aAvUpEALw_wcB</t>
  </si>
  <si>
    <t xml:space="preserve">https://www.glasslab.com.br/reagentes-e-meios/alcool-iso-propilico-pa-acs-1l?parceiro=6858&amp;gclid=Cj0KCQiAx6ugBhCcARIsAGNmMbjhTpOsZK0MskqGu3x8ACYs9yxZblduVClnZbUJsL5nNb1ONDkU9kkaAgS4EALw_wcB</t>
  </si>
  <si>
    <t xml:space="preserve">https://www.dsyslab.com.br/reagentes/alcool/alcool-isopropilico-pa-acs-2-propanol-frasco-com-1-litro-mod-ai09965ra-onu-1219-exodo?parceiro=7063&amp;srsltid=Ad5pg_E2Bkytur1NvVa9v25chTViVXftwcHIOeFmdJxbHr-exbsQrqg07wk</t>
  </si>
  <si>
    <t xml:space="preserve">CATMAT -348276- ÁLCOOL PROPÍLICO, ASPECTO FÍSICO: LÍQUIDO LÍMPIDO, INCOLOR, ODOR CARACTERÍSTICO, FÓRMULA QUÍMICA: (CH3)2CHOH (ISOPROPÍLICO OU ISO-PROPANOL), PESO MOLECULAR : 60,10 G,MOL, GRAU DE PUREZA: PUREZA MÍNIMA DE 99,7%, CARACTERÍSTICA ADICIONAL: REAGENTE P, UV,HPLC, NÚMERO DE REFERÊNCIA QUÍMICA: CAS 67-63-0</t>
  </si>
  <si>
    <t xml:space="preserve">348276</t>
  </si>
  <si>
    <t xml:space="preserve">https://sipac.sig.ufal.br/sipac/visualizaMaterial.do?popup=true&amp;id=23277&amp;acao=12</t>
  </si>
  <si>
    <t xml:space="preserve">ÁLCOOL ISOPROPÍLICO UV/HPLC</t>
  </si>
  <si>
    <t xml:space="preserve">https://www.orionprodutoscientificos.com.br/alcool-propilico-iso-uv-hplc-plus-1l-fabricante-exodo-cientifica?utm_source=Site&amp;utm_medium=GoogleMerchant&amp;utm_campaign=GoogleMerchant</t>
  </si>
  <si>
    <t xml:space="preserve">https://www.glasslab.com.br/reagentes-e-meios/alcool-iso-propilico-hplc-1l?parceiro=6858&amp;srsltid=Ad5pg_FGhXqpeLx_cyub8cvUOTiBEPQk_brai-CxqCmBHdv4Go8AOG_34-k</t>
  </si>
  <si>
    <t xml:space="preserve">https://www.didaticasp.com.br/alcool-isopropilico-uvhplc-espectroscopico-2-propanol-isopropanol-1l</t>
  </si>
  <si>
    <t xml:space="preserve">CATMAT - 348266 - ÁLCOOL METÍLICO, ASPECTO FÍSICO: LÍQUIDO LÍMPIDO, INCOLOR, ODOR CARACTERÍSTICO, FÓRMULA QUÍMICA: CH3OH, PESO MOLECULAR: 32,04 G,MOL, GRAU DE PUREZA: PUREZA MÍNIMA DE 99,8%, CARACTERÍSTICA ADICIONAL: REAGENTE P.A. ACS, NÚMERO DE REFERÊNCIA QUÍMICA: CAS 67-56-1</t>
  </si>
  <si>
    <t xml:space="preserve">348266</t>
  </si>
  <si>
    <t xml:space="preserve">https://sipac.sig.ufal.br/sipac/visualizaMaterial.do?popup=true&amp;id=2082&amp;acao=12</t>
  </si>
  <si>
    <t xml:space="preserve">ÁLCOOL METÍLICO P.A. ACS</t>
  </si>
  <si>
    <t xml:space="preserve">https://www.labimport.com.br/reagentes/alcool/alcool-metilico-pa-acs-1-l-11701</t>
  </si>
  <si>
    <t xml:space="preserve">https://www.acsreagentes.com.br/alcool-metilico-pa-acs-1l-acs-cientifica?utm_source=Site&amp;utm_medium=GoogleMerchant&amp;utm_campaign=GoogleMerchant</t>
  </si>
  <si>
    <t xml:space="preserve">https://www.biomedh.com.br/007197/alcool-metilico-metanol-pa-acs-790g-1000ml.html</t>
  </si>
  <si>
    <t xml:space="preserve">CATMAT - 348267 - ÁLCOOL METÍLICO, ASPECTO FÍSICO LÍQUIDO LÍMPIDO, INCOLOR, ODOR CARACTERÍSTICO, FÓRMULA QUÍMICA CH3OH, PESO MOLECULAR 32,04, GRAU DE PUREZA MÍNIMA DE 99,5%, CARACTERÍSTICAS ADICIONAL REAGENTE PARA UV HPLC, NÚMERO DE REFERÊNCIA QUÍMICA CAS 67-56-1</t>
  </si>
  <si>
    <t xml:space="preserve">348267</t>
  </si>
  <si>
    <t xml:space="preserve">https://sipac.sig.ufal.br/sipac/visualizaMaterial.do?popup=true&amp;id=5598&amp;acao=12</t>
  </si>
  <si>
    <t xml:space="preserve">ÁLCOOL METÍLICO UV HPLC</t>
  </si>
  <si>
    <t xml:space="preserve">https://www.acsreagentes.com.br/alcool-metilico-metanol-hplc-uv-1l-acs-cientifica?utm_source=Site&amp;utm_medium=GoogleMerchant&amp;utm_campaign=GoogleMerchant</t>
  </si>
  <si>
    <t xml:space="preserve">https://www.didaticasp.com.br/produto/alcool-metilico-uvhplc-4l-cas-67-56-1-ssp.html</t>
  </si>
  <si>
    <t xml:space="preserve">CATMAT 348273 - ALCOOL PROPÍLICO, ASPECTO FÍSICO LÍQUIDO LÍMPIDO, INCOLOR, ODOR CARACTERÍSTICO, FÓRMULA QUÍMICA CH3(CH2)2OH (1-PROPANOL OU NORMAL), PESO MOLECULAR* 60,10, GRAU DE PUREZA PUREZA MÍNIMA DE 99,5%, CARACTERÍSTICA ADICIONAL REAGENTE P.A., NÚMERO DE REFERÊNCIA QUÍMICA CAS 71-23-8</t>
  </si>
  <si>
    <t xml:space="preserve">348273</t>
  </si>
  <si>
    <t xml:space="preserve">https://sipac.sig.ufal.br/sipac/visualizaMaterial.do?popup=true&amp;id=2422&amp;acao=12</t>
  </si>
  <si>
    <t xml:space="preserve">ÁLCOOL PROPÍLICO NORMAL P.A.</t>
  </si>
  <si>
    <t xml:space="preserve">https://www.acsreagentes.com.br/alcool-propilico-normal-pa-1-propanol-1l-acs-cientifica?utm_source=Site&amp;utm_medium=GoogleMerchant&amp;utm_campaign=GoogleMerchant&amp;gclid=Cj0KCQiAx6ugBhCcARIsAGNmMbgcuNnc3TbL5o6PvZFLIPT874aNLGHUUV7iBWDqh1VflxLeKgwq564aAlPKEALw_wcB</t>
  </si>
  <si>
    <t xml:space="preserve">https://www.glasslab.com.br/reagentes-e-meios/alcool-propilico-normal-pa-1l?parceiro=6858&amp;gclid=Cj0KCQiAx6ugBhCcARIsAGNmMbiY2X9vd1GwjTYJWkYQu8xAjCbE2rcBywlZHoLXdw-drKTNk6GZ8JkaArgpEALw_wcB</t>
  </si>
  <si>
    <t xml:space="preserve">https://www.didaticasp.com.br/produto/alcool-n-propilico-pa-1l-cas-71-23-8-ssp.html</t>
  </si>
  <si>
    <t xml:space="preserve">CATMAT -327506- CORANTE, TIPO: ALIZARINA, ASPECTO FÍSICO: PÓ, CARACTERÍSTICAS ADICIONAIS: CI 58000, P.A., CAS: 72-48-0, FRASCO COM 25 G</t>
  </si>
  <si>
    <t xml:space="preserve">327506</t>
  </si>
  <si>
    <t xml:space="preserve">https://sipac.sig.ufal.br/sipac/visualizaMaterial.do?popup=true&amp;id=23479&amp;acao=12</t>
  </si>
  <si>
    <t xml:space="preserve">ALIZARINA P.A. FRASCO 25 G</t>
  </si>
  <si>
    <t xml:space="preserve">https://www.lojaprolab.com.br/alizarina-pa-81202</t>
  </si>
  <si>
    <t xml:space="preserve">PRO-LAB MATERIAIS PARA LABORATORIOS LTDA </t>
  </si>
  <si>
    <t xml:space="preserve">https://www.orionprodutoscientificos.com.br/alizarina-ci-58000-pa-25g-exodo-cientifica</t>
  </si>
  <si>
    <t xml:space="preserve">https://www.glasslab.com.br/reagentes-e-meios/alizarina-ci-58000-pa-25g?parceiro=6858&amp;gclid=Cj0KCQiAx6ugBhCcARIsAGNmMbhkok3MVosxZCgj59tCaUfhndbTbpahvbPF6xAUEAuwe62YCo75C1UaAigjEALw_wcB</t>
  </si>
  <si>
    <t xml:space="preserve">Glasslab</t>
  </si>
  <si>
    <t xml:space="preserve">CATMAT -376244- ALUMÍNIO, ASPECTO FÍSICO: PÓ FINÍSSIMO, PRATEADO, INODORO, FÓRMULA QUÍMICA: AL, PESO MOLECULAR: 26,98 G,MOL, GRAU DE PUREZA: PUREZA MÍNIMA DE 99,5%, NÚMERO DE REFERÊNCIA QUÍMICA: CAS 7429-90-5. Entregue em frasco com 100 g. Atenção: observar a unidade de medida do SIPAC e colocar múltiplo de 100 g.</t>
  </si>
  <si>
    <t xml:space="preserve">376244</t>
  </si>
  <si>
    <t xml:space="preserve">https://sipac.sig.ufal.br/sipac/visualizaMaterial.do?popup=true&amp;id=30772&amp;acao=12</t>
  </si>
  <si>
    <t xml:space="preserve">ALUMÍNIO EM PÓ</t>
  </si>
  <si>
    <t xml:space="preserve">https://www.acsreagentes.com.br/aluminio-em-po-997-pa-100g-acs-cientifica?utm_source=Site&amp;utm_medium=GoogleMerchant&amp;utm_campaign=GoogleMerchant&amp;gclid=Cj0KCQiAx6ugBhCcARIsAGNmMbhdmBHy8nME7j4HmV4TRRlaQsyE1MXWl2zMURRp2X18JTNcJCZtNaoaAo8XEALw_wcB</t>
  </si>
  <si>
    <t xml:space="preserve">ACS Reagentes</t>
  </si>
  <si>
    <t xml:space="preserve">CATMAT - 432146 - Amido, aspecto físico: pó fino branco a esbranquiçado, inodoro, característica adicional: reagente P.A. ACS, número de referência química: CAS 9005-84-9, entregue em frasco com 500 g. Atenção: observar a unidade de medida do SIPAC e colocar múltiplo de 500 g.</t>
  </si>
  <si>
    <t xml:space="preserve">432146</t>
  </si>
  <si>
    <t xml:space="preserve">https://sipac.sig.ufal.br/sipac/visualizaMaterial.do?popup=true&amp;id=2209&amp;acao=12</t>
  </si>
  <si>
    <t xml:space="preserve">AMIDO P.A. ACS</t>
  </si>
  <si>
    <t xml:space="preserve">https://www.dsyslab.com.br/reagentes/amido/amido-soluvel-pa-acs-frasco-com-500g-as06585ra-exodo?parceiro=7063&amp;srsltid=Ad5pg_FPo2fjo3K1M9U-9OpaF42L8PN6wwtQpyqe6aXvysaQQSDD0QIO9YU</t>
  </si>
  <si>
    <t xml:space="preserve">Dsyslab</t>
  </si>
  <si>
    <t xml:space="preserve">exodo</t>
  </si>
  <si>
    <t xml:space="preserve">https://www.orionprodutoscientificos.com.br/amido-soluvel-pa-acs-500g-exodo-cientifica?utm_source=Site&amp;utm_medium=GoogleMerchant&amp;utm_campaign=GoogleMerchant</t>
  </si>
  <si>
    <t xml:space="preserve">CATMAT -348966- anidrido acético, aspecto físico líquido incolor, translúcido, odor picante, peso molecular 102,09, fórmula química ch3co)2o, grau de pureza pureza mínima de 97%, característica adicional reagente p.a., número de referência química cas 108-24-7. Frasco com 500 mL.</t>
  </si>
  <si>
    <t xml:space="preserve">348966</t>
  </si>
  <si>
    <t xml:space="preserve">https://sipac.sig.ufal.br/sipac/visualizaMaterial.do?popup=true&amp;id=145&amp;acao=12</t>
  </si>
  <si>
    <t xml:space="preserve">ANIDRO ACÉTICO P.A.</t>
  </si>
  <si>
    <t xml:space="preserve">https://www.glasslab.com.br/reagentes-e-meios/anidrido-acetico-pa-acs-1l?parceiro=6858&amp;srsltid=Ad5pg_FQn0UB83saMdV43JQCykvXq6z0tjyu2Gp2-1JzKPuxOXmHf8z2QxE</t>
  </si>
  <si>
    <t xml:space="preserve">CATMAT -339048- AZOCASEÍNA (Sinônimo: Sulfanilamida-Azocaseína), ASPECTO FÍSICO: PÓ. FRASCO DE 1 GRAMA. CAS 102110-74-7</t>
  </si>
  <si>
    <t xml:space="preserve">339048</t>
  </si>
  <si>
    <t xml:space="preserve">https://sipac.sig.ufal.br/sipac/visualizaMaterial.do?popup=true&amp;id=30414&amp;acao=12</t>
  </si>
  <si>
    <t xml:space="preserve">AZOCASEÍNA (SULFANILAMIDA-AZOCASEÍNA)</t>
  </si>
  <si>
    <t xml:space="preserve">https://www.sigmaaldrich.com/BR/pt/product/sigma/a2765</t>
  </si>
  <si>
    <t xml:space="preserve">sigma-aldrich</t>
  </si>
  <si>
    <t xml:space="preserve">CATMAT 327372 - CORANTE, TIPO AZUL ALCIAN, ASPECTO FÍSICO PÓ, CARACTERÍSTICAS ADICIONAIS CI 74240. FRASCO 10 G.</t>
  </si>
  <si>
    <t xml:space="preserve">327372</t>
  </si>
  <si>
    <t xml:space="preserve">https://sipac.sig.ufal.br/sipac/visualizaMaterial.do?popup=true&amp;id=21042&amp;acao=12</t>
  </si>
  <si>
    <t xml:space="preserve">AZUL ALCIAN FRASCO 10G </t>
  </si>
  <si>
    <t xml:space="preserve">https://www.acsreagentes.com.br/azul-de-alcian-alcian-blue-ci-74240-10g-acs-cientifica?utm_source=Site&amp;utm_medium=GoogleMerchant&amp;utm_campaign=GoogleMerchant&amp;gclid=Cj0KCQjwk7ugBhDIARIsAGuvgPZdc-pbcXC_OmhmWIrVXExsRO6AT6arZpAHIT3I_xzoZoDStNcC9FwaAgFaEALw_wcB</t>
  </si>
  <si>
    <t xml:space="preserve">https://www.glasslab.com.br/reagentes-e-meios/azul-de-alcian-ci-74240-pa-10g?parceiro=6858&amp;srsltid=Ad5pg_FDyPCRvpry5EhdsEoJ7uxF_y9EB0InlQo7sJUXQRNRJMnoWyZXD4o</t>
  </si>
  <si>
    <t xml:space="preserve">https://www.didaticasp.com.br/produto/azul-de-alcian-25g-cas-33864-99-2.html</t>
  </si>
  <si>
    <t xml:space="preserve">CATMAT -346660- Corante, tipo: azul de astra, aspecto físico: pó. CI. 48048, CAS: 82864-57-1, Frasco com 10 g,</t>
  </si>
  <si>
    <t xml:space="preserve">346660</t>
  </si>
  <si>
    <t xml:space="preserve">https://sipac.sig.ufal.br/sipac/visualizaMaterial.do?popup=true&amp;id=23373&amp;acao=12</t>
  </si>
  <si>
    <t xml:space="preserve">AZUL DE ASTRA CI. 48048 FRASCO 10 G</t>
  </si>
  <si>
    <t xml:space="preserve">https://www.acsreagentes.com.br/azul-de-astra-ci-48048-10g-acs-cientifica?utm_source=Site&amp;utm_medium=GoogleMerchant&amp;utm_campaign=GoogleMerchant</t>
  </si>
  <si>
    <t xml:space="preserve">ACS reagentes</t>
  </si>
  <si>
    <t xml:space="preserve">https://www.labimport.com.br/reagentes/azul-de-astra/azul-de-astra-ci-48048-10g</t>
  </si>
  <si>
    <t xml:space="preserve">https://www.lojanetlab.com.br/azul-de-astra-ci-48048-10gr-dinamica</t>
  </si>
  <si>
    <t xml:space="preserve">Loja Netlab</t>
  </si>
  <si>
    <t xml:space="preserve">CATMAT -445240- Azul de bromotimol composição química C27H28Br2O5S, aspecto físico: pó, massa molar 624,40 g/mol, característica adicional reagente P.A., número de referência química CAS 76-59-5, entregue em frasco com 25 g. Atenção: observar a unidade de medida do SIPAC e colocar múltiplo de 25 g.
</t>
  </si>
  <si>
    <t xml:space="preserve">445240</t>
  </si>
  <si>
    <t xml:space="preserve">https://sipac.sig.ufal.br/sipac/visualizaMaterial.do?popup=true&amp;id=18098&amp;acao=12</t>
  </si>
  <si>
    <t xml:space="preserve">AZUL DE BROMOTIMOL P.A.</t>
  </si>
  <si>
    <t xml:space="preserve">Ana r</t>
  </si>
  <si>
    <t xml:space="preserve">https://www.acsreagentes.com.br/azul-de-bromotimol-pa-25g-acs-cientifica?utm_source=Site&amp;utm_medium=GoogleMerchant&amp;utm_campaign=GoogleMerchant&amp;gclid=Cj0KCQiAx6ugBhCcARIsAGNmMbgMjuYws-4lYbF0mRic7awBvmjSwbjYTJBE9MT6uU6k32Y6XVg5fksaAuZ_EALw_wcB</t>
  </si>
  <si>
    <t xml:space="preserve">https://www.glasslab.com.br/reagentes-e-meios/azul-de-bromotimol-pa-25g?parceiro=6858&amp;gclid=Cj0KCQiAx6ugBhCcARIsAGNmMbiqKvKl0bA_j8hB8LchwhBNGrwiitOJ87PVFnI_EP6M0jIKyKdbJZ4aAsbIEALw_wcB</t>
  </si>
  <si>
    <t xml:space="preserve">52.078.276/0001-96 </t>
  </si>
  <si>
    <t xml:space="preserve">https://www.lojaprolab.com.br/azul-de-bromotimol-pa-acs-81244</t>
  </si>
  <si>
    <t xml:space="preserve">CATMAT - 329774 DESCRIÇÃO: CORANTE, TIPO: AZUL DE METILENO, ASPECTO FÍSICO: LÍQUIDO, CARACTERÍSTICAS ADICIONAIS: CI 52015, FRASCO COM 1000 ML</t>
  </si>
  <si>
    <t xml:space="preserve">329774</t>
  </si>
  <si>
    <t xml:space="preserve">https://sipac.sig.ufal.br/sipac/visualizaMaterial.do?popup=true&amp;id=25980&amp;acao=12</t>
  </si>
  <si>
    <t xml:space="preserve">AZUL DE METILENO (SOLUÇÃO) FRASCO 1000 ML SOLUÇÃO 1%</t>
  </si>
  <si>
    <t xml:space="preserve">Lauristela</t>
  </si>
  <si>
    <t xml:space="preserve">https://www.labimport.com.br/reagentes/azul-de-metileno/azul-de-metileno-solucao-1-alcoolica-1-l</t>
  </si>
  <si>
    <t xml:space="preserve">LAB IMPORT</t>
  </si>
  <si>
    <t xml:space="preserve">Êxodo Cientifica</t>
  </si>
  <si>
    <t xml:space="preserve">https://www.acsreagentes.com.br/azul-de-metileno-solucao-1-aquosa-1l-acs-cientifica?utm_source=Site&amp;utm_medium=GoogleMerchant&amp;utm_campaign=GoogleMerchant&amp;gclid=Cj0KCQjwk7ugBhDIARIsAGuvgPbFHfB-kwPs2upGuwg1PuTH4gSzJxCphs0Iej3_YlSzcVbaLLVi4X8aAnu9EALw_wcB</t>
  </si>
  <si>
    <t xml:space="preserve">10.446.530\0001-11</t>
  </si>
  <si>
    <t xml:space="preserve">https://www.sabresafety.com.br/produto/solucao-azul-de-metileno-alcoolica-1000ml/</t>
  </si>
  <si>
    <t xml:space="preserve">SABRE SAFETY COMERCIO DE EQUIPAMENTOS E SERVICOS LTDA</t>
  </si>
  <si>
    <t xml:space="preserve">CATMAT -331361- CORANTE, TIPO AZUL DE METILENO, ASPECTO FÍSICO PÓ, CARACTERÍSTICAS ADICIONAIS CI 52015. FRASCO COM 25G.</t>
  </si>
  <si>
    <t xml:space="preserve">331361</t>
  </si>
  <si>
    <t xml:space="preserve">https://sipac.sig.ufal.br/sipac/visualizaMaterial.do?popup=true&amp;id=10448&amp;acao=12</t>
  </si>
  <si>
    <t xml:space="preserve">AZUL DE METILENO CI 52015 FRASCO 25 G</t>
  </si>
  <si>
    <t xml:space="preserve">CATMAT -401189- Bicarbonato de sódio, aspecto físico: pó branco, fino, peso molecular: 84,01 g/mol, fórmula química: NaHCO3, pureza mínima de 99%, característica adicional: reagente P.A., número de referência química CAS 144-55-8, entregue em frasco com 500 g. Atenção: observar a unidade de medida do SIPAC e colocar múltiplo de 500 g.
</t>
  </si>
  <si>
    <t xml:space="preserve">401189</t>
  </si>
  <si>
    <t xml:space="preserve">https://sipac.sig.ufal.br/sipac/visualizaMaterial.do?popup=true&amp;id=23355&amp;acao=12</t>
  </si>
  <si>
    <t xml:space="preserve">BICARBONATO DE SÓDIO P.A.</t>
  </si>
  <si>
    <t xml:space="preserve">https://www.glasslab.com.br/reagentes-e-meios/bicarbonato-de-sodio-pa-500g?parceiro=6858&amp;gclid=Cj0KCQiAx6ugBhCcARIsAGNmMbjZvXnRdDbePHETwEmytepCSQbm8zOEOB5HoezKp8wH_DtxoJ6dyHsaAtZFEALw_wcB</t>
  </si>
  <si>
    <t xml:space="preserve">https://www.labimport.com.br/reagentes/bicarbonato-de-sodio/bicarbonato-de-sodio-pa-500g-11755</t>
  </si>
  <si>
    <t xml:space="preserve">https://www.acsreagentes.com.br/bicarbonato-de-sodio-pa-500g-acs-cientifica?utm_source=Site&amp;utm_medium=GoogleMerchant&amp;utm_campaign=GoogleMerchant</t>
  </si>
  <si>
    <t xml:space="preserve">CATMAT -366468- Biftalato de potássio, aspecto físico: pó ou cristal branco ou incolor, inodoro, peso molecular: 204,22 g/mol, fórmula química: C8H5KO4, pureza mínima de 99,5%, característica adicional: reagente P.A., número de referência química: CAS 877-24-7, entregue em frasco com 500 g. Atenção: observar a unidade de medida do SIPAC e colocar múltiplo de 500 g.</t>
  </si>
  <si>
    <t xml:space="preserve">366468</t>
  </si>
  <si>
    <t xml:space="preserve">https://sipac.sig.ufal.br/sipac/visualizaMaterial.do?popup=true&amp;id=23356&amp;acao=12</t>
  </si>
  <si>
    <t xml:space="preserve">BIFTALATO DE POTÁSSIO P.A. -</t>
  </si>
  <si>
    <t xml:space="preserve">https://www.glasslab.com.br/reagentes-e-meios/biftalato-de-potassio-pa-500g?parceiro=6858&amp;gclid=Cj0KCQiAx6ugBhCcARIsAGNmMbiOAsl0U3S8vbhYkqSSMJ6QEfTqOq1fXiGTx_DAy9x5RWMgTgdjD44aAqifEALw_wcB</t>
  </si>
  <si>
    <t xml:space="preserve">https://www.acsreagentes.com.br/biftalato-de-potassio-pa-500g-acs-cientifica?utm_source=Site&amp;utm_medium=GoogleMerchant&amp;utm_campaign=GoogleMerchant&amp;gclid=Cj0KCQiAx6ugBhCcARIsAGNmMbjIwm1BSkuqwPssQRvLFvz5YH5ucQ-mwplI379ugZCJiGimFQwPEWwaAsHvEALw_wcB</t>
  </si>
  <si>
    <t xml:space="preserve">https://www.laderquimica.com.br/biftalato-potassio-pa-500gr?utm_source=Site&amp;utm_medium=GoogleMerchant&amp;utm_campaign=GoogleMerchant&amp;srsltid=Ad5pg_GXhqJxdwf1afx-NIUIwSyz-R2sjVYf8MUEjMQ698tofSt8cy-3f_E</t>
  </si>
  <si>
    <t xml:space="preserve">Quimivix Comercio produtos Científicos ltda </t>
  </si>
  <si>
    <t xml:space="preserve">CATMAT -391722- Biiodato de potássio, aspecto físico: pó branco cristalino, fórmula química: KH(IO3)2, peso molecular: 389,91 g/mol, pureza mínima de 99,8%, característica adicional: reagente P.A., número de referência química: CAS 13455-24-8. entregue em fraco de 100 g. Atenção: observar a unidade de medida do SIPAC e colocar múltiplo de 100 g.</t>
  </si>
  <si>
    <t xml:space="preserve">391722</t>
  </si>
  <si>
    <t xml:space="preserve">https://sipac.sig.ufal.br/sipac/visualizaMaterial.do?popup=true&amp;id=30405&amp;acao=12</t>
  </si>
  <si>
    <t xml:space="preserve">Não</t>
  </si>
  <si>
    <t xml:space="preserve">BIODATO ÁCIDO DE POTÁSSIO P.A.</t>
  </si>
  <si>
    <t xml:space="preserve">CATMAT -359904- BIOTINA; FÓRMULA QUÍMICA: C10H16N2O3S; PESO MOLECULAR: 244.31 G/MOL; GRAU DE PUREZA MÍNIMA: 97,5% (TLC); NÚMERO DE REFERÊNCIA QUÍMICA: CAS: 58-85-5.</t>
  </si>
  <si>
    <t xml:space="preserve">359904</t>
  </si>
  <si>
    <t xml:space="preserve">https://sipac.sig.ufal.br/sipac/visualizaMaterial.do?popup=true&amp;id=30415&amp;acao=12</t>
  </si>
  <si>
    <t xml:space="preserve">Biotina (Vitamina H)</t>
  </si>
  <si>
    <t xml:space="preserve">https://www.acsreagentes.com.br/biotina-99-vitamina-h-25g-acs-cientifica?gclid=CjwKCAjwiOCgBhAgEiwAjv5whAKqrfpQcSxjmmEsrD3bVF_sxB5k5gNjftIPhWM_OjdQXvhxXRspyRoC9gIQAvD_BwE</t>
  </si>
  <si>
    <t xml:space="preserve">CATMAT -382201- Brometo de cetiltrimetilamônio, aspecto físico: pó branco cristalino, fórmula química: (CH3)(CH2)15N(Br)(ch3)3, peso molecular: 364,45 g/mol, pureza mínima de 99%, número de referência química: CAS: 57-09-0, entregue em fraco de 100 g. Atenção: observar a unidade de medida do SIPAC e colocar múltiplo de 100 g.</t>
  </si>
  <si>
    <t xml:space="preserve">https://sipac.sig.ufal.br/sipac/visualizaMaterial.do?popup=true&amp;id=23675&amp;acao=12</t>
  </si>
  <si>
    <t xml:space="preserve">BROMETO DE CETILTRIMETILAMONIO (CTAB)</t>
  </si>
  <si>
    <t xml:space="preserve">https://www.acsreagentes.com.br/brometo-de-cetiltrimetilamonio-ctab-100g-acs-cientifica?utm_source=Site&amp;utm_medium=GoogleMerchant&amp;utm_campaign=GoogleMerchant</t>
  </si>
  <si>
    <t xml:space="preserve">https://www.labimport.com.br/reagentes/brometo-de-cetiltrimetilamonio/brometo-de-cetiltrimetilamonio-ctab-500g-13987</t>
  </si>
  <si>
    <t xml:space="preserve">CATMAT -347625- Brometo de potássio, aspecto físico: cristal incolor ou esbranquiçado, inodoro, peso molecular: 119 g/mol, fórmula química: KBr, pureza mínima de 99%, característica adicional: reagente P.A., número de referência química: CAS 7758-02-3, entregue em frasco de 250 g. Atenção: observar a unidade de medida do SIPAC e colocar múltiplo de 250 g.</t>
  </si>
  <si>
    <t xml:space="preserve">347625</t>
  </si>
  <si>
    <t xml:space="preserve">https://sipac.sig.ufal.br/sipac/visualizaMaterial.do?popup=true&amp;id=23674&amp;acao=12</t>
  </si>
  <si>
    <t xml:space="preserve">BROMETO DE POTÁSSIO P.A.</t>
  </si>
  <si>
    <t xml:space="preserve">https://www.acsreagentes.com.br/brometo-de-potassio-pa-250g-acs-cientifica?gclid=Cj0KCQiAx6ugBhCcARIsAGNmMbjbHIxdq1eWApvs0yeAPFAmW42ztivmoZdnC2jyBRmVy7sNB74yoKwaAr-UEALw_wcB</t>
  </si>
  <si>
    <t xml:space="preserve">https://www.glasslab.com.br/reagentes-e-meios/brometo-de-potassio-pa-acs-500g?parceiro=6858&amp;srsltid=Ad5pg_EPB8X9NZaEPypJToNC70A1BMBaB9N3697_3zGZv_vpQQdyL3xPq3o</t>
  </si>
  <si>
    <t xml:space="preserve">https://www.lojasynth.com/reagentes-analiticosmaterias-primas/reagentes-analiticosmaterias-primas/brometo-de-potassio-p-a-a-c-s?parceiro=2827&amp;gclid=Cj0KCQiAx6ugBhCcARIsAGNmMbiihneURXjb2l3Qud58zGKhH03g0TCPDGO408y-grqJDTyuk8QvH7saAtvHEALw_wcB&amp;variant_id=301311</t>
  </si>
  <si>
    <t xml:space="preserve">Labsynth Produtos para Laboratórios LTDA</t>
  </si>
  <si>
    <t xml:space="preserve">CATMAT -326882- Caldo cérebro e coração (BRAIN HEART INFUSION BHI) Meio de cultura, apresentação: pó, Frasco com 500 g</t>
  </si>
  <si>
    <t xml:space="preserve">326882</t>
  </si>
  <si>
    <t xml:space="preserve">https://sipac.sig.ufal.br/sipac/visualizaMaterial.do?popup=true&amp;id=23015&amp;acao=12</t>
  </si>
  <si>
    <t xml:space="preserve">CALDO CÉREBRO E CORAÇÃO (BRAIN HEART INFUSION BHI) FRASCO 500 G</t>
  </si>
  <si>
    <t xml:space="preserve">https://www.glasslab.com.br/reagentes-e-meios/agar-infusao-cerebro-e-coracao-bhi-frasco-500g-k25-610007-kasvi?parceiro=6858&amp;gclid=Cj0KCQiAx6ugBhCcARIsAGNmMbjnysT0QZj9B1VqG6ew_tvPz5rIZF_In_YzVfqWNZaqLYxux-i8Z8IaAr1wEALw_wcB</t>
  </si>
  <si>
    <t xml:space="preserve">https://www.lkpdiagnosticos.com.br/meios-de-cultura/k25-610008-caldo-infusao-cerebro-e-coracao-frasco-500g?parceiro=3898</t>
  </si>
  <si>
    <t xml:space="preserve">45.427.500/0001-42</t>
  </si>
  <si>
    <t xml:space="preserve">https://www.vitchlab.com.br/laboratorial/meio-de-cultivo/caldo-infusao-cerebro-coracao-bhib-frasco-500-g?parceiro=7632&amp;srsltid=Ad5pg_HSRwETWWTqGHQnN1NbdwjIDwS3DOs5WcnmmW8rg6VziNC5cLj4L1s</t>
  </si>
  <si>
    <t xml:space="preserve">JR SOUZA COMERCIO DE MATERIAIS MEDICOS, HOSPITALARES, ODONTOLOGICOSE LABORATORIAIS LTDA</t>
  </si>
  <si>
    <t xml:space="preserve">CATMAT -415707- Meio de cultura,, tipo: caldo nutriente, apresentação: pó, frasco 500 g</t>
  </si>
  <si>
    <t xml:space="preserve">415707</t>
  </si>
  <si>
    <t xml:space="preserve">https://sipac.sig.ufal.br/sipac/visualizaMaterial.do?popup=true&amp;id=28149&amp;acao=12</t>
  </si>
  <si>
    <t xml:space="preserve">CALDO NUTRIENTE 500 G</t>
  </si>
  <si>
    <t xml:space="preserve">https://www.lkpdiagnosticos.com.br/meios-de-cultura/7146-caldo-nutriente-nutrient-broth-500g?parceiro=3898</t>
  </si>
  <si>
    <t xml:space="preserve">ACUMEDIA</t>
  </si>
  <si>
    <t xml:space="preserve">https://www.orionprodutoscientificos.com.br/caldo-nutriente-frasco-500g-himedia?utm_source=Site&amp;utm_medium=GoogleMerchant&amp;utm_campaign=GoogleMerchant</t>
  </si>
  <si>
    <t xml:space="preserve">https://www.lojanetlab.com.br/meios-de-cultura/agar/agar-nutriente-frasco-500g-k25-610036-kasvi?parceiro=7105&amp;srsltid=Ad5pg_EsbkflI1MkvBmmJssXIDUcuJrq2K9F_YQn7ETPIcCr7qbo3QNtUGg</t>
  </si>
  <si>
    <t xml:space="preserve">CATMAT -326310- Meio de cultura, tipo: caldo tioglicolato, apresentação: pó, com indicador rezasurina, frasco 500 g.</t>
  </si>
  <si>
    <t xml:space="preserve">326310</t>
  </si>
  <si>
    <t xml:space="preserve">https://sipac.sig.ufal.br/sipac/visualizaMaterial.do?popup=true&amp;id=28150&amp;acao=12</t>
  </si>
  <si>
    <t xml:space="preserve">CALDO TIOGLICOLATO COM INDICADOR FRASCO DE 500 G</t>
  </si>
  <si>
    <t xml:space="preserve">https://www.orionprodutoscientificos.com.br/meio-tioglicolato-com-indicador-frasco-500g-himedia?utm_source=Site&amp;utm_medium=GoogleMerchant&amp;utm_campaign=GoogleMerchantt</t>
  </si>
  <si>
    <t xml:space="preserve">https://www.vitchlab.com.br/meios-e-reagentes/agar-meio-de-cultura/meio-tioglicolato-com-indicador-frasco-500g-m009-500g</t>
  </si>
  <si>
    <t xml:space="preserve">CATMAT -423240- Calmagita, reagente, aspecto físico: pó, fórmula química: HOC10H5[N=NC6H3(OH)CH3]SO3H, massa molecular: 358,37 g/mol, característica adicional: reagente P.A., número de referência química: CAS 3147-14-6. entregue em frasco com 25 g. Atenção: observar a unidade de medida do SIPAC e colocar múltiplo de 25 g.</t>
  </si>
  <si>
    <t xml:space="preserve">423240</t>
  </si>
  <si>
    <t xml:space="preserve">https://sipac.sig.ufal.br/sipac/visualizaMaterial.do?popup=true&amp;id=30406&amp;acao=12</t>
  </si>
  <si>
    <t xml:space="preserve">CALMAGITA P.A.</t>
  </si>
  <si>
    <t xml:space="preserve">https://ludwigbiotec.com.br/loja/produto/calmagita-paacs/739</t>
  </si>
  <si>
    <t xml:space="preserve">neon</t>
  </si>
  <si>
    <t xml:space="preserve">https://www.didaticasp.com.br/produto/calmagita-pa-acs-25g-cas-3147-14-6.html</t>
  </si>
  <si>
    <t xml:space="preserve">https://www.orionprodutoscientificos.com.br/calmagita-p-a-acs-25-g-fabricante-neon?utm_source=Site&amp;utm_medium=GoogleMerchant&amp;utm_campaign=GoogleMerchant</t>
  </si>
  <si>
    <t xml:space="preserve">CATMAT - 375316 - Carbonato de amônio, aspecto físico cristal incolor ou pó branco, odor característico, peso molecular 96,09 g/mol, fórmula química (NH4)2CO3, (teor mínimo de 30% de amônia), característica adicional reagente P.A., número de referência química CAS 506-87-6,entregue em frasco com 500 g. Atenção: observar a unidade de medida do SIPAC e colocar múltiplo de 500 g.
</t>
  </si>
  <si>
    <t xml:space="preserve">375316</t>
  </si>
  <si>
    <t xml:space="preserve">https://sipac.sig.ufal.br/sipac/visualizaMaterial.do?popup=true&amp;id=23695&amp;acao=12</t>
  </si>
  <si>
    <t xml:space="preserve">CARBONATO DE AMÔNIO P.A.</t>
  </si>
  <si>
    <t xml:space="preserve">https://www.glasslab.com.br/reagentes-e-meios/carbonato-de-amonio-pa-acs-500g?parceiro=6858&amp;gclid=Cj0KCQiAx6ugBhCcARIsAGNmMbhzwQHJFsI_C9MYhzIQTdQD4I0etqVxWqzLTz97re939JsDwrf5PAoaArWTEALw_wcB</t>
  </si>
  <si>
    <t xml:space="preserve">https://www.orionprodutoscientificos.com.br/carbonato-de-amonio-p-a-500-g-fabricante-neon?utm_source=Site&amp;utm_medium=GoogleMerchant&amp;utm_campaign=GoogleMerchant</t>
  </si>
  <si>
    <t xml:space="preserve">https://www.didaticasp.com.br/produto/carbonato-de-amonio-pa-1kg-cas-10361-29-2.html</t>
  </si>
  <si>
    <t xml:space="preserve">CATMAT -354223 - Carbonato de bário, aspecto físico: pó branco, inodoro, fórmula química: BaCO3, peso molecular: 197,35 g/mol, pureza mínima de 99%, característica adicional: reagente P.A., número de referência química: CAS 513-77-9, entregue em frasco com 250 g. Atenção: observar a unidade de medida do SIPAC e colocar múltiplo de 250 g.
</t>
  </si>
  <si>
    <t xml:space="preserve">354223</t>
  </si>
  <si>
    <t xml:space="preserve">https://sipac.sig.ufal.br/sipac/visualizaMaterial.do?popup=true&amp;id=23699&amp;acao=12</t>
  </si>
  <si>
    <t xml:space="preserve">CARBONATO DE BÁRIO P.A.</t>
  </si>
  <si>
    <t xml:space="preserve">https://www.acsreagentes.com.br/carbonato-de-bario-pa-250g-acs-cientifica?utm_source=Site&amp;utm_medium=GoogleMerchant&amp;utm_campaign=GoogleMerchant</t>
  </si>
  <si>
    <t xml:space="preserve">https://www.glasslab.com.br/reagentes-e-meios/carbonato-de-bario-pa-250g?parceiro=6858&amp;srsltid=Ad5pg_HDYO2KmmquLBCYMZgPCgXLHPqS94Pl7Bu5s2rNpShcpIyBFXf_c1w</t>
  </si>
  <si>
    <t xml:space="preserve">CATMAT -412635- CARBONATO DE CÁLCIO, ASPECTO FÍSICO: PRECIPITADO, PÓ BRANCO, FINO, INODORO, HIGROSCÓPICO, PESO MOLECULAR: 100,09 G/MOL, FÓRMULA QUÍMICA: CACO3, PUREZA MÍNIMA DE 99%, CARACTERÍSTICA ADICIONAL: REAGENTE P.A., NÚMERO DE REFERÊNCIA QUÍMICA: CAS 471-34-1, ENTREGUE EM FRASCO COM 500 G. ATENÇÃO: OBSERVAR A UNIDADE DE MEDIDA DO SIPAC E COLOCAR MÚLTIPLO DE 500 G.</t>
  </si>
  <si>
    <t xml:space="preserve">412635</t>
  </si>
  <si>
    <t xml:space="preserve">https://sipac.sig.ufal.br/sipac/visualizaMaterial.do?popup=true&amp;id=23703&amp;acao=12</t>
  </si>
  <si>
    <t xml:space="preserve">CARBONATO DE CÁLCIO P.A.</t>
  </si>
  <si>
    <t xml:space="preserve">https://www.glasslab.com.br/reagentes-e-meios/carbonato-de-calcio-pa-500g?parceiro=6858&amp;gclid=Cj0KCQiAx6ugBhCcARIsAGNmMbj881n9F-vDjirdc-XmLZ-Ocqf16r5kTE3ZYI_y0hq1sUXqv3kDWg0aAnKCEALw_wcB</t>
  </si>
  <si>
    <t xml:space="preserve">https://www.acsreagentes.com.br/carbonato-de-calcio-pa-500g-acs-cientifica?utm_source=Site&amp;utm_medium=GoogleMerchant&amp;utm_campaign=GoogleMerchant&amp;gclid=Cj0KCQiAx6ugBhCcARIsAGNmMbjRsBmKa_DCQT5OXNheKMhWOi3p2zKpxEAVtkhkPWm8A9mIkudeOQcaAqNrEALw_wcB</t>
  </si>
  <si>
    <t xml:space="preserve">https://www.laderquimica.com.br/carbonato-de-calcio-pa-500-g-neon?utm_source=Site&amp;utm_medium=GoogleMerchant&amp;utm_campaign=GoogleMerchant&amp;srsltid=Ad5pg_ExSKFBFv2XiVr9F8VOnQTGMFmo6fDPFQnaMTBATIubBXJy4WtXGhI</t>
  </si>
  <si>
    <t xml:space="preserve">CATMAT -347931- Carbonato De Estrôncio Aspecto Físico: Pó Branco, Inodoro , Fórmula Química: Srco3 , Peso Molecular: 147,63 G/MOL, Teor De Pureza: Pureza Mínima De 97% , Característica Adicional: Reagente P.A. , Número De Referência Química: Cas 1633-05-2. ENTREGUE EM FRASCO COM 500 G. ATENÇÃO: OBSERVAR A UNIDADE DE MEDIDA DO SIPAC E COLOCAR MÚLTIPLO DE 500 G.</t>
  </si>
  <si>
    <t xml:space="preserve">347932</t>
  </si>
  <si>
    <t xml:space="preserve">https://sipac.sig.ufal.br/sipac/visualizaMaterial.do?popup=true&amp;id=30771&amp;acao=12</t>
  </si>
  <si>
    <t xml:space="preserve">CARBONATO DE ESTRÔNCIO P.A.</t>
  </si>
  <si>
    <t xml:space="preserve">https://www.acsreagentes.com.br/carbonato-de-estroncio-pa-250g-acs-cientifica?utm_source=Site&amp;utm_medium=GoogleMerchant&amp;utm_campaign=GoogleMerchant</t>
  </si>
  <si>
    <t xml:space="preserve">https://www.glasslab.com.br/reagentes-e-meios/carbonato-de-estroncio-pa-250g?parceiro=6858&amp;srsltid=Ad5pg_HZcWkl5aue_weZe-JmSs2DgN9r-s1DowwKtU6cDIwqE0IJJrme0Ls</t>
  </si>
  <si>
    <t xml:space="preserve">https://www.lojaprolab.com.br/carbonato-de-estroncio-pa-81317</t>
  </si>
  <si>
    <t xml:space="preserve">CATMAT -347934- Carbonato de lítio, aspecto físico: pó branco, cristalino, fórmula química: li2co3, peso molecular: 73,89 g,mol, grau de pureza: pureza mínima de 99%, característica adicional: reagente p.a., número de referência química: cas 554-13-2. Frasco com 250 g.</t>
  </si>
  <si>
    <t xml:space="preserve">347934</t>
  </si>
  <si>
    <t xml:space="preserve">https://sipac.sig.ufal.br/sipac/visualizaMaterial.do?popup=true&amp;id=23704&amp;acao=12</t>
  </si>
  <si>
    <t xml:space="preserve">CARBONATO DE LÍTIO P.A.</t>
  </si>
  <si>
    <t xml:space="preserve">https://www.acsreagentes.com.br/carbonato-de-litio-pa-250g-acs-cientifica?gclid=Cj0KCQiAx6ugBhCcARIsAGNmMbiANReA7zi27wEbfkHLFiq275TxZBEPHQXbEoromcSbtbHglNMeaRQaArZIEALw_wcB</t>
  </si>
  <si>
    <t xml:space="preserve">https://www.glasslab.com.br/reagentes-e-meios/carbonato-de-litio-pa-500g?parceiro=6858&amp;srsltid=Ad5pg_FPNJOd01MCkB2wF-J-SV4bXWfLSHZb-JBO-wrYe86-p786iMcXdPY</t>
  </si>
  <si>
    <t xml:space="preserve">https://www.lojaprolab.com.br/carbonato-de-litio-pa-81318</t>
  </si>
  <si>
    <t xml:space="preserve">CATMAT - 359248 - Carbonato de magnésio, aspecto físico: pó branco cristalino, inodoro, fórmula química: MgCO3 anidro, peso molecular: 84,31 g/mol, teor mínimo de Mg 40% (como MgO) base característica adicional: reagente P.A., número de referência química: CAS 39409-82-0, entregue em frasco com 250 g. Atenção: observar a unidade de medida do SIPAC e colocar múltiplo de 250 g.
</t>
  </si>
  <si>
    <t xml:space="preserve">359248</t>
  </si>
  <si>
    <t xml:space="preserve">https://sipac.sig.ufal.br/sipac/visualizaMaterial.do?popup=true&amp;id=23705&amp;acao=12</t>
  </si>
  <si>
    <t xml:space="preserve">CARBONATO DE MAGNÉSIO BASE P.A.</t>
  </si>
  <si>
    <t xml:space="preserve">https://www.lojasynth.com/reagentes-analiticosmaterias-primas/reagentes-analiticosmaterias-primas/carbonato-de-magnesio-basico-p-a?parceiro=2827&amp;variant_id=1079&amp;gclid=Cj0KCQiAx6ugBhCcARIsAGNmMbhGcwoJuSJbIlXE60GhOQE1ycgtvePHfmmB8wDDXZLUOUlFOwAb8TIaAsw9EALw_wcB</t>
  </si>
  <si>
    <t xml:space="preserve">CATMAT -347950- Carbonato de potássio, aspecto físico: finos grânulos brancos, inodoros, peso molecular: 138,21 g/mol, fórmula química: K2CO3 anidro, pureza mínima de 99%, característica adicional: reagente P.A., número de referência química: CAS 584-08-7, entregue em frasco com 500 g. Atenção: observar a unidade de medida do SIPAC e colocar múltiplo de 500 g.
</t>
  </si>
  <si>
    <t xml:space="preserve">347950</t>
  </si>
  <si>
    <t xml:space="preserve">https://sipac.sig.ufal.br/sipac/visualizaMaterial.do?popup=true&amp;id=23500&amp;acao=12</t>
  </si>
  <si>
    <t xml:space="preserve">CARBONATO DE POTÁSSIO ANIDRO P.A.</t>
  </si>
  <si>
    <t xml:space="preserve">https://www.didaticasp.com.br/produto/carbonato-de-potassio-anidro-em-po-pa-500g-cas-584-08-7-pfssp-concentracao-98-densidade-100.html</t>
  </si>
  <si>
    <t xml:space="preserve">https://www.glasslab.com.br/reagentes-e-meios/carbonato-de-potassio-anidro-pa-1kg</t>
  </si>
  <si>
    <t xml:space="preserve">CATMAT -414450- CARBONATO DE SÓDIO HIDRATADO, ASPECTO FÍSICO: PÓ OU CRISTAIS BRANCOS, HIGROSCÓPICOS, INODOROS, FÓRMULA QUÍMICA: NA2CO3.10H2O (DECAHIDRATADO), PESO MOLECULAR: 286,14 G,MOL, GRAU DE PUREZA: PUREZA MÍNIMA DE 99%, CARACTERÍSTICA ADICIONAL: REAGENTE P.A., NÚMERO DE REFERÊNCIA QUÍMICA: CAS 6132-02-1. Entregue em frasco com 500 g. Atenção: observar a unidade de medida do SIPAC e colocar múltiplo de 500 g.</t>
  </si>
  <si>
    <t xml:space="preserve">414450</t>
  </si>
  <si>
    <t xml:space="preserve">https://sipac.sig.ufal.br/sipac/visualizaMaterial.do?popup=true&amp;id=30770&amp;acao=12</t>
  </si>
  <si>
    <t xml:space="preserve">CARBONATO DE SÓDIO (10H2O) P.A.</t>
  </si>
  <si>
    <t xml:space="preserve">https://www.orionprodutoscientificos.com.br/carbonato-de-sodio-decahidratado-10h2o-pa-250g-exodo-cientifica</t>
  </si>
  <si>
    <t xml:space="preserve">CATMAT -347958- Carbonato de sódio, aspecto físico: pó ou cristais brancos, higroscópicos, inodoros, fórmula química: NA2CO3 anidro, peso molecular: 105,99 g/mol, grau de pureza: pureza mínima de 99,5%, característica adicional: reagente P.A., número de referência química: CAS 497-19-8, entregue em frasco de 500 g. Atenção: observar a unidade de medida do SIPAC e colocar múltiplo de 500 g.
</t>
  </si>
  <si>
    <t xml:space="preserve">347958</t>
  </si>
  <si>
    <t xml:space="preserve">https://sipac.sig.ufal.br/sipac/visualizaMaterial.do?popup=true&amp;id=23488&amp;acao=12</t>
  </si>
  <si>
    <t xml:space="preserve">CARBONATO DE SÓDIO ANIDRO P.A.</t>
  </si>
  <si>
    <t xml:space="preserve">https://www.laderquimica.com.br/carbonato-de-sodio-anidro-pa-acs-500g-dinamica?utm_source=Site&amp;utm_medium=GoogleMerchant&amp;utm_campaign=GoogleMerchant&amp;srsltid=Ad5pg_HHagIfhBl2TY0bDyAdJbSkFBMk4ahIi9_WoucZ2MxzTW-kwK-gjMM</t>
  </si>
  <si>
    <t xml:space="preserve">https://www.orionprodutoscientificos.com.br/carbonato-de-sodio-anidro-pa-500g-exodo-cientifica?utm_source=Site&amp;utm_medium=GoogleMerchant&amp;utm_campaign=GoogleMerchant</t>
  </si>
  <si>
    <t xml:space="preserve">https://www.glasslab.com.br/reagentes-e-meios/carbonato-de-sodio-anidro-pa-1kg</t>
  </si>
  <si>
    <t xml:space="preserve">CATMAT -351917- Carboximetilcelulose (cmc), aspecto físico pó branco ou levemente amarelado, inodoro, pureza mínima de 99%, característica adicional alta viscosidade, reagente P.A., número de referência química: CAS 9004-32-4, entregue em frasco com 500 g.</t>
  </si>
  <si>
    <t xml:space="preserve">351917</t>
  </si>
  <si>
    <t xml:space="preserve">https://sipac.sig.ufal.br/sipac/visualizaMaterial.do?popup=true&amp;id=23484&amp;acao=12</t>
  </si>
  <si>
    <t xml:space="preserve">CARBOXIMETILCELULOSE SAL SÓDICO P.A.</t>
  </si>
  <si>
    <t xml:space="preserve">Quilogramas</t>
  </si>
  <si>
    <t xml:space="preserve">https://www.glasslab.com.br/reagentes-e-meios/carboximetilcelulose-sal-sodico-pa-250g?parceiro=6858&amp;srsltid=Ad5pg_H5yYzTi4_9BIfn052xJd4rAuQ2L5uDP97HqzH45ssjrCEIsZEPngQ</t>
  </si>
  <si>
    <t xml:space="preserve">14.453.599/0001-24</t>
  </si>
  <si>
    <t xml:space="preserve">https://www.acsreagentes.com.br/carboximetilcelulose-sal-sodico-pa-500g-acs-cientifica</t>
  </si>
  <si>
    <t xml:space="preserve">https://www.labimport.com.br/carboximetilcelulose1057/</t>
  </si>
  <si>
    <t xml:space="preserve">CATMAT -348073- Carvão ativado, aspecto físico: pó preto, inodoro, peso molecular: 12,01 g/mol, fórmula química: C, característica adicional: reagente P.A., número de referência química: CAS 7440-44-0. Entregue em frasco com 500 g. Atenção: observar a unidade de medida do SIPAC e colocar múltiplo de 500 g.
</t>
  </si>
  <si>
    <t xml:space="preserve">348073</t>
  </si>
  <si>
    <t xml:space="preserve">https://sipac.sig.ufal.br/sipac/visualizaMaterial.do?popup=true&amp;id=23478&amp;acao=12</t>
  </si>
  <si>
    <t xml:space="preserve">CARVÃO ATIVADO P.A.</t>
  </si>
  <si>
    <t xml:space="preserve">https://www.acsreagentes.com.br/carvao-ativo-em-po-pa-5kg-acs-cientifica</t>
  </si>
  <si>
    <t xml:space="preserve">https://www.glasslab.com.br/reagentes-e-meios/carvao-ativo-em-po-pa-500g?parceiro=6858</t>
  </si>
  <si>
    <t xml:space="preserve">https://www.didaticasp.com.br/carvao-ativo-em-po-pa-500g</t>
  </si>
  <si>
    <t xml:space="preserve">CATMAT - 415455 - Caseína, aspecto físico: pó branco, inodoro, reagente P.A. número de referência química : CAS 9000-71-9. entregue em frasco com 500 g. Atenção: observar a unidade de medida do SIPAC e colocar múltiplo de 500 g.
</t>
  </si>
  <si>
    <t xml:space="preserve">418890</t>
  </si>
  <si>
    <t xml:space="preserve">https://sipac.sig.ufal.br/sipac/visualizaMaterial.do?popup=true&amp;id=23474&amp;acao=12</t>
  </si>
  <si>
    <t xml:space="preserve">CASEÍNA P.A.</t>
  </si>
  <si>
    <t xml:space="preserve">https://www.didaticasp.com.br/caseina-pa-500g</t>
  </si>
  <si>
    <t xml:space="preserve">30.554.101/0001-75</t>
  </si>
  <si>
    <t xml:space="preserve">https://www.labshow.com.br/loja/Labshow/produto/1469/caseina-pa-dinamica</t>
  </si>
  <si>
    <t xml:space="preserve">Labshow Servicos e Agenciamento de Servicos LTDA</t>
  </si>
  <si>
    <t xml:space="preserve">https://www.lojanetlab.com.br/reagentes/pa/caseina-pa</t>
  </si>
  <si>
    <t xml:space="preserve">CATMAT -407162- Cloreto de alumínio, composição AlCl3 anidro, peso molecular 133,34 g/mol, aspecto físico pó cristalino amarelado, pureza mínima de 99%, característica adicional reagente P.A., número de referência química CAS 7446-70-0. Entregue em frasco com 500 g. Atenção: observar a unidade de medida do SIPAC e colocar múltiplo de 500 g.</t>
  </si>
  <si>
    <t xml:space="preserve">407162</t>
  </si>
  <si>
    <t xml:space="preserve">https://sipac.sig.ufal.br/sipac/visualizaMaterial.do?popup=true&amp;id=22744&amp;acao=12</t>
  </si>
  <si>
    <t xml:space="preserve">CLORETO DE ALUMÍNIO P.A.</t>
  </si>
  <si>
    <t xml:space="preserve">https://www.acsreagentes.com.br/cloreto-de-aluminio-6h2o-pa-500g-acs-cientifica</t>
  </si>
  <si>
    <t xml:space="preserve">https://www.glasslab.com.br/reagentes-e-meios/cloreto-de-aluminio-6h2o-pa-500g?parceiro=6858</t>
  </si>
  <si>
    <t xml:space="preserve">https://www.laderquimica.com.br/cloreto-de-aluminio-6h2o-pa-500g-dinamica</t>
  </si>
  <si>
    <t xml:space="preserve">Dinamica</t>
  </si>
  <si>
    <t xml:space="preserve">CATMAT -352801- CLORETO DE AMÔNIO, ASPECTO FÍSICO: PÓ BRANCO, CRISTALINO, INODORO, PESO MOLECULAR: 53,49 G/MOL, FÓRMULA QUÍMICA: NH4CL, PUREZA MÍNIMA DE 99,5%, CARACTERÍSTICA ADICIONAL: REAGENTE P.A., NÚMERO DE REFERÊNCIA QUÍMICA: CAS 12125-02-9. ENTREGUE EM FRASCO COM 500 G. ATENÇÃO: OBSERVAR A UNIDADE DE MEDIDA DO SIPAC E COLOCAR MÚLTIPLO DE 500 G.</t>
  </si>
  <si>
    <t xml:space="preserve">352801</t>
  </si>
  <si>
    <t xml:space="preserve">https://sipac.sig.ufal.br/sipac/visualizaMaterial.do?popup=true&amp;id=22745&amp;acao=12</t>
  </si>
  <si>
    <t xml:space="preserve">CLORETO DE AMÔNIO P.A. 99,5%</t>
  </si>
  <si>
    <t xml:space="preserve">https://www.glasslab.com.br/reagentes-e-meios/cloreto-de-amonio-pa-acs-500g?parceiro=6858</t>
  </si>
  <si>
    <t xml:space="preserve">00.270.077/0001-81</t>
  </si>
  <si>
    <t xml:space="preserve">https://labtrade.com.br/produto/cloreto-de-amonio-pa/#.ZAuMZx_MJhE</t>
  </si>
  <si>
    <t xml:space="preserve">Labtrade do Brasil Ltda</t>
  </si>
  <si>
    <t xml:space="preserve">LGC</t>
  </si>
  <si>
    <t xml:space="preserve">CATMAT -380439- CLORETO DE BÁRIO, ASPECTO FÍSICO: PÓ OU GRÂNULO CRISTALINO, INCOLOR OU BRANCO, FÓRMULA QUÍMICA: BACL2.2H2O, MASSA MOLECULAR: 244,27 G,MOL, GRAU DE PUREZA: PUREZA MÍNIMA DE 99%, CARACTERÍSTICA ADICIONAL: REAGENTE P.A. ACS, NÚMERO DE REFERÊNCIA QUÍMICA: CAS 10326-27-9. ENTREGUE EM FRASCO COM 500 G.</t>
  </si>
  <si>
    <t xml:space="preserve">380439</t>
  </si>
  <si>
    <t xml:space="preserve">https://sipac.sig.ufal.br/sipac/visualizaMaterial.do?popup=true&amp;id=22746&amp;acao=12</t>
  </si>
  <si>
    <t xml:space="preserve">CLORETO DE BÁRIO (2H2O) P.A. ACS</t>
  </si>
  <si>
    <t xml:space="preserve">https://www.laderquimica.com.br/cloreto-de-bario-pa-acs-500g-dinamica</t>
  </si>
  <si>
    <t xml:space="preserve">https://www.labimport.com.br/reagentes/cloreto-de-bario/cloreto-de-bario-2h2o-pa-acs-500g</t>
  </si>
  <si>
    <t xml:space="preserve">https://www.lojaprolab.com.br/cloreto-de-bario-2h2o-pa-acs-81432</t>
  </si>
  <si>
    <t xml:space="preserve">CATMAT -355578- Cloreto de benzoíla, aspecto físico: líquido límpido, incolor, odor picante, corrosivo, fórmula química: C7H5ClO, peso molecular: 140,57 g/mol, pureza mínima de 98%, característica adicional: reagente P.A., número de referência química: CAS 98-88-4.</t>
  </si>
  <si>
    <t xml:space="preserve">355578</t>
  </si>
  <si>
    <t xml:space="preserve">https://sipac.sig.ufal.br/sipac/visualizaMaterial.do?popup=true&amp;id=22747&amp;acao=12</t>
  </si>
  <si>
    <t xml:space="preserve">CLORETO DE BENZOÍLA P.A.</t>
  </si>
  <si>
    <t xml:space="preserve">https://www.didaticasp.com.br/produto/cloreto-de-benzoila-1l-cas-98-88-4-ssp.html</t>
  </si>
  <si>
    <t xml:space="preserve">https://www.acsreagentes.com.br/cloreto-de-benzoila-ps-1l-acs-cientifica</t>
  </si>
  <si>
    <t xml:space="preserve">CATMAT -412633- CLORETO DE CÁLCIO, ASPECTO FÍSICO: PÓ, GRANULADO OU ESCAMA BRANCA OU ROSADA, OPACA, FÓRMULA QUÍMICA: CACL2.2H2O, MASSA MOLECULAR: 147,01 G/MOL, PUREZA MÍNIMA DE 99%, CARACTERÍSTICA ADICIONAL: REAGENTE P.A., NÚMERO DE REFERÊNCIA QUÍMICA: CAS 10035-04-8.</t>
  </si>
  <si>
    <t xml:space="preserve">412633</t>
  </si>
  <si>
    <t xml:space="preserve">https://sipac.sig.ufal.br/sipac/visualizaMaterial.do?popup=true&amp;id=22748&amp;acao=12</t>
  </si>
  <si>
    <t xml:space="preserve">CLORETO DE CÁLCIO P.A. (2H2O)</t>
  </si>
  <si>
    <t xml:space="preserve">https://www.acsreagentes.com.br/cloreto-de-calcio-2h2o-pa-1kg-acs-cientifica?utm_source=Site&amp;utm_medium=GoogleMerchant&amp;utm_campaign=GoogleMerchant</t>
  </si>
  <si>
    <t xml:space="preserve">https://www.glasslab.com.br/reagentes-e-meios/cloreto-de-calcio-2h2o-pa-1kg?parceiro=6858&amp;srsltid=Ad5pg_FsQ-fAcR1TQQXHUGocX_zvAyj9bv2nqpVkYAnPvxrsduHQqTYAnx8</t>
  </si>
  <si>
    <t xml:space="preserve">https://www.laderquimica.com.br/cloreto-de-calcio-dihidratado-pa-1kg-dinamica?utm_source=Site&amp;utm_medium=GoogleMerchant&amp;utm_campaign=GoogleMerchant&amp;srsltid=Ad5pg_H4buK4qE9tEDI_cNL9zvZv-C_m5FDOAfp6d29gUZDBk0BQ4VMRVEM</t>
  </si>
  <si>
    <t xml:space="preserve">CATMAT -374583- CLORETO DE CHUMBO, ASPECTO FÍSICO: PÓ BRANCO, INODORO, FÓRMULA QUÍMICA: PBCL2, PESO MOLECULAR: 278,11 G,MOL, GRAU DE PUREZA: PUREZA MÍNIMA DE 99%, CARACTERÍSTICA ADICIONAL: REAGENTE P.A., NÚMERO DE REFERÊNCIA QUÍMICA: CAS 7758-95-4. Entregue em frasco com 250 g. Atenção: observar a unidade de medida do SIPAC e colocar múltiplo de 250 g.</t>
  </si>
  <si>
    <t xml:space="preserve">374583</t>
  </si>
  <si>
    <t xml:space="preserve">https://sipac.sig.ufal.br/sipac/visualizaMaterial.do?popup=true&amp;id=30769&amp;acao=12</t>
  </si>
  <si>
    <t xml:space="preserve">CLORETO DE CHUMBO II P.A.</t>
  </si>
  <si>
    <t xml:space="preserve">https://www.acsreagentes.com.br/cloreto-de-chumbo-ii-pa-250g-acs-cientifica?utm_source=Site&amp;utm_medium=GoogleMerchant&amp;utm_campaign=GoogleMerchant</t>
  </si>
  <si>
    <t xml:space="preserve">https://www.laderquimica.com.br/cloreto-de-chumbo-ii-pa-500g-vetec?utm_source=Site&amp;utm_medium=GoogleMerchant&amp;utm_campaign=GoogleMerchant&amp;srsltid=Ad5pg_FGRuEyIu2kCjP6MInFVagmkKy_ayj83uEzvSqpAiiAqzcx2okw4fk</t>
  </si>
  <si>
    <t xml:space="preserve">Vetec</t>
  </si>
  <si>
    <t xml:space="preserve">https://www.didaticasp.com.br/produto/cloreto-de-chumbo-ii-pa-500g-cas-7758-95-4.html</t>
  </si>
  <si>
    <t xml:space="preserve">CATMAT -400499-Cloreto de cobalto II, aspecto físico: cristal rosa a vermelho, odor leve penetrante, peso molecular: 237,93 g/mol, fórmula química: COCL2.6H2O, pureza mínima de 98%, característica adicional: reagente P.A. ACS, número de referência química: CAS 7791-13-1. Entregue em frasco com 100 g. Atenção: observar a unidade de medida do SIPAC e colocar múltiplo de 100 g.</t>
  </si>
  <si>
    <t xml:space="preserve">https://sipac.sig.ufal.br/sipac/visualizaMaterial.do?popup=true&amp;id=22757&amp;acao=12</t>
  </si>
  <si>
    <t xml:space="preserve">CLORETO DE COBALTO II OSO (6H2O) P.A. ACS</t>
  </si>
  <si>
    <t xml:space="preserve">https://www.glasslab.com.br/reagentes-e-meios/cloreto-de-cobalto-ii-oso-6h2o-pa-acs-100g?parceiro=6858&amp;gclid=Cj0KCQjwk7ugBhDIARIsAGuvgPYazDFPvgbku3ftWhvKiUpbfZyLy0qhSAgdvG28D5DzdZy0vm4ressaAuQhEALw_wcB</t>
  </si>
  <si>
    <t xml:space="preserve">https://www.acsreagentes.com.br/cloreto-de-cobalto-ii-oso-6-h2o-pa-acs-100g-acs-cientifica?utm_source=Site&amp;utm_medium=GoogleMerchant&amp;utm_campaign=GoogleMerchant&amp;gclid=Cj0KCQjwk7ugBhDIARIsAGuvgPaP4JRWm8DGSKyRjPXMfSzaQjN5cJivvRMhLqF-eovyBoXJBxrxcWIaAv9kEALw_wcB</t>
  </si>
  <si>
    <t xml:space="preserve">https://www.laderquimica.com.br/cloreto-de-cobalto-ii-hexahidratado-pa-100g-neon?utm_source=Site&amp;utm_medium=GoogleMerchant&amp;utm_campaign=GoogleMerchant&amp;srsltid=Ad5pg_H04jKrPZh9KK0VVvrOqr_oIqh7fsYIaK_766u3ISfiAI6ePZjfVtA</t>
  </si>
  <si>
    <t xml:space="preserve">CATMAT -436609- Cloreto de estanho, aspecto físico: pó, fórmula química: SNCl2 anidro, peso molecular: 189,62 g/mol, pureza mínima de 97%, característica adicional: reagente P.A., número de referência química: CAS 7772-99-8. Entregue em frasco com 250 g. Atenção: observar a unidade de medida do SIPAC e colocar múltiplo de 250 g.</t>
  </si>
  <si>
    <t xml:space="preserve">436609</t>
  </si>
  <si>
    <t xml:space="preserve">https://sipac.sig.ufal.br/sipac/visualizaMaterial.do?popup=true&amp;id=22760&amp;acao=12</t>
  </si>
  <si>
    <t xml:space="preserve">CLORETO DE ESTANHO II P.A.</t>
  </si>
  <si>
    <t xml:space="preserve">https://www.acsreagentes.com.br/cloreto-de-estanho-ii-anidro-pa-100g-acs-cientifica?utm_source=Site&amp;utm_medium=GoogleMerchant&amp;utm_campaign=GoogleMerchant</t>
  </si>
  <si>
    <t xml:space="preserve">CATMAT -415314- Cloreto de ferro, aspecto físico:pó cristalino, marrom amarelado, composição: FeCl3·6H2O OU [Fe(H2O)6]Cl3, peso molecular: 270,30 g/mol, pureza mínima de 97%, características adicionais:reagente P.A., número de referência química: CAS 10025-77-1. Entregue em frasco com 500 g. Atenção: observar a unidade de medida do SIPAC e colocar múltiplo de 500 g.</t>
  </si>
  <si>
    <t xml:space="preserve">415314</t>
  </si>
  <si>
    <t xml:space="preserve">https://sipac.sig.ufal.br/sipac/visualizaMaterial.do?popup=true&amp;id=30416&amp;acao=12</t>
  </si>
  <si>
    <t xml:space="preserve">Cloreto de Ferro III ICO (6H2O)</t>
  </si>
  <si>
    <t xml:space="preserve">https://www.glasslab.com.br/reagentes-e-meios/cloreto-de-ferro-iii-ico-6h2o-pa-acs-250g?parceiro=6858&amp;srsltid=Ad5pg_ENSnWLKLB4Q_JsBKa3Yw_dX8mYsP6DLNFmQC3PGz3167PlAhx17pU</t>
  </si>
  <si>
    <t xml:space="preserve">https://www.glasslab.com.br/reagentes-e-meios/cloreto-de-ferro-iii-ico-6h2o-pa-acs-250g?parceiro=6858&amp;gclid=Cj0KCQjwk7ugBhDIARIsAGuvgPYTiII8hr5sEGlaQjBEe50c1Q-Wd43mDZg-UhV3QDN5k4VFZtwWoJoaAmOrEALw_wcB</t>
  </si>
  <si>
    <t xml:space="preserve">https://www.google.com/search?q=Cloreto+de+Ferro+III+ICO+%286H2O%29&amp;client=firefox-b-lm&amp;sa=X&amp;biw=1440&amp;bih=747&amp;tbm=shop&amp;sxsrf=AJOqlzUD4pH0O4V6wkJR1HebWPISSegtOQ%3A1678710104877&amp;ei=WBUPZMXmNMXN1sQP35-zmA8&amp;ved=0ahUKEwjF8uy78tj9AhXFppUCHd_PDPMQ4dUDCAc&amp;uact=5&amp;oq=Cloreto+de+Ferro+III+ICO+%286H2O%29&amp;gs_lcp=Cgtwcm9kdWN0cy1jYxADMggIABCiBBCwA0oECEEYAVCTA1iTA2DxBGgBcAB4AIABAIgBAJIBAJgBAKABAqABAcgBAcABAQ&amp;sclient=products-cc#spd=0</t>
  </si>
  <si>
    <t xml:space="preserve">CATMAT -356835- Cloreto de ferro, aspecto físico: pó cinza esverdeado escuro a preto, inodoro, composição: FeCL3 anidro, peso molecular: 162,30 g/mol, pureza mínima de 98%, características adicionais: reagente P.A., número de referência química: CAS 7705-08-0. PODENDO SER FORNECIDO EM EMBALAGENS DE 500 G OU 250 G, A SER DEFINIDO PELO SOLICITANTE NO MOMENTO DO EMPENHO.</t>
  </si>
  <si>
    <t xml:space="preserve">356835</t>
  </si>
  <si>
    <t xml:space="preserve">https://sipac.sig.ufal.br/sipac/visualizaMaterial.do?popup=true&amp;id=22765&amp;acao=12</t>
  </si>
  <si>
    <t xml:space="preserve">CLORETO DE FERRO III ICO ANIDRO P.A.</t>
  </si>
  <si>
    <t xml:space="preserve">https://www.acsreagentes.com.br/cloreto-de-ferro-iii-ico-anidro-pa-500g-acs-cientifica?utm_source=Site&amp;utm_medium=GoogleMerchant&amp;utm_campaign=GoogleMerchant</t>
  </si>
  <si>
    <t xml:space="preserve">https://www.glasslab.com.br/reagentes-e-meios/cloreto-de-ferro-iii-ico-anidro-pa-500g?parceiro=6858&amp;srsltid=Ad5pg_H5iaemON2PMSXroAXyeSNJeiirsn2nAtG6NuSTISr7QGoy9t8jP6c</t>
  </si>
  <si>
    <t xml:space="preserve">CATMAT - 352959 - Cloreto de lítio, composição química: LiCl, aspecto físico: pó branco, inodoro, peso molecular: 42,39 g/mol, pureza mínima de 99%, característica adicional: reagente P.A. ACS, número de referência química: CAS 7447-41-8, entregue em frasco com 250 g. Atenção: observar a unidade de medida do SIPAC e colocar múltiplo de 250 g.</t>
  </si>
  <si>
    <t xml:space="preserve">352959</t>
  </si>
  <si>
    <t xml:space="preserve">https://sipac.sig.ufal.br/sipac/visualizaMaterial.do?popup=true&amp;id=25860&amp;acao=12</t>
  </si>
  <si>
    <t xml:space="preserve">CLORETO DE LÍTIO P.A. ACS</t>
  </si>
  <si>
    <t xml:space="preserve">CATMAT -360537- Cloreto de magnésio, composição básica: MgCl2.6H2O (hexa-hidratado), aspecto físico: cristal ou floco, incolor a esbranquiçado, inodoro, peso molecular: 203,30 g/mol, pureza mínima de 99%, característica adicional: reagente P.A., número de referência química: CAS 7791-18-6. Entregue em frasco de 500 g. Atenção: observar a unidade de medida do SIPAC e colocar múltiplo de 500 g.</t>
  </si>
  <si>
    <t xml:space="preserve">360537</t>
  </si>
  <si>
    <t xml:space="preserve">https://sipac.sig.ufal.br/sipac/visualizaMaterial.do?popup=true&amp;id=22768&amp;acao=12</t>
  </si>
  <si>
    <t xml:space="preserve">CLORETO DE MAGNÉSIO (6H2O) P.A.</t>
  </si>
  <si>
    <t xml:space="preserve">https://www.glasslab.com.br/reagentes-e-meios/cloreto-de-magnesio-6h2o-pa-acs-500g?parceiro=6858&amp;gclid=Cj0KCQjwk7ugBhDIARIsAGuvgPb2u6em8jdBjbUKqC5enRxs7tRLE5ZfBqmSNlF6-7g4tWIjgYOGQjsaAhOzEALw_wcB</t>
  </si>
  <si>
    <t xml:space="preserve">https://www.orionprodutoscientificos.com.br/produto/cloreto-de-magnesio-6h2o-pa-acs-500g-exodo-cientifica.html?utm_source=Site&amp;utm_medium=GoogleMerchant&amp;utm_campaign=GoogleMerchant</t>
  </si>
  <si>
    <t xml:space="preserve">24.842.922/0001-04</t>
  </si>
  <si>
    <t xml:space="preserve">https://www.mmcomercio.net.br/produto/cloreto-de-magnesio-6h2o-pa-acs-1kg-exodo.html?utm_source=Site&amp;utm_medium=GoogleMerchant&amp;utm_campaign=GoogleMerchant&amp;srsltid=Ad5pg_G1BeErNrGJAskjxjsZ12lFlpkI0VZdFOR76PrvEFtB3mpEQLGUVXA</t>
  </si>
  <si>
    <t xml:space="preserve">A.M. Marques Produtos Para Laboratórios</t>
  </si>
  <si>
    <t xml:space="preserve">CATMAT -454847- Cloreto de manganês, aspecto físico: pó, peso molecular: 197,91 g,mol, fórmula química: MnCl2.4H2O (tetrahidratado), pureza mínima de 99%, característica adicional: reagente P.A., número de referência química: cas 13446-34-9. Entregue em frasco com 500 g. Atenção: observar a unidade de medida do SIPAC e colocar múltiplo de 500 g.</t>
  </si>
  <si>
    <t xml:space="preserve">https://sipac.sig.ufal.br/sipac/visualizaMaterial.do?popup=true&amp;id=24778&amp;acao=12</t>
  </si>
  <si>
    <t xml:space="preserve">CLORETO DE MANGANÊS II OSO P.A. (4H2O)</t>
  </si>
  <si>
    <t xml:space="preserve">https://www.lojaprolab.com.br/cloreto-de-manganes-ii-oso-4h2o-pa-acs-81452</t>
  </si>
  <si>
    <t xml:space="preserve">https://www.orionprodutoscientificos.com.br/cloreto-de-manganes-oso-4h2o-pa-acs-500g-exodo-cientifica?utm_source=Site&amp;utm_medium=GoogleMerchant&amp;utm_campaign=GoogleMerchant</t>
  </si>
  <si>
    <t xml:space="preserve">https://www.didaticasp.com.br/cloreto-de-manganes-ii-oso-4h2o-pa-500g</t>
  </si>
  <si>
    <t xml:space="preserve">CATMAT - 352777 - CLORETO DE POTÁSSIO, ASPECTO FÍSICO: PÓ OU CRISTAL BRANCO, INODORO, FÓRMULA QUÍMICA: KCL, MASSA MOLECULAR: 74,55 G/MOL, PUREZA MÍNIMA DE 99%, CARACTERÍSTICA ADICIONAL: REAGENTE P.A., NÚMERO DE REFERÊNCIA QUÍMICA: CAS 7447-40-7. ENTREGUE EM FRASCO COM 500 G. ATENÇÃO: OBSERVAR A UNIDADE DE MEDIDA DO SIPAC E COLOCAR MÚLTIPLO DE 500 G.</t>
  </si>
  <si>
    <t xml:space="preserve">https://sipac.sig.ufal.br/sipac/visualizaMaterial.do?popup=true&amp;id=22775&amp;acao=12</t>
  </si>
  <si>
    <t xml:space="preserve">CLORETO DE POTÁSSIO P.A.-</t>
  </si>
  <si>
    <t xml:space="preserve">https://www.orionprodutoscientificos.com.br/cloreto-de-potassio-pa-500g-exodo-cientifica?utm_source=Site&amp;utm_medium=GoogleMerchant&amp;utm_campaign=GoogleMerchant</t>
  </si>
  <si>
    <t xml:space="preserve">49.314.381/0001-72</t>
  </si>
  <si>
    <t xml:space="preserve">https://www.cromoslab.com.br/linha-labscience/reagentes-quimicos-e-meios-de-cultura/cloreto-de-potassio-pa-acs-1000gr-acs-cientifica?parceiro=3365&amp;gclid=Cj0KCQjwk7ugBhDIARIsAGuvgPb2747PBJyu34EhI080AbqcVxt3B4zaID30jKQwLVzMnXONd20683caAijKEALw_wcB</t>
  </si>
  <si>
    <t xml:space="preserve">CRLAB COMERCIO ELETRONICO LTDA </t>
  </si>
  <si>
    <t xml:space="preserve">https://www.lojasynth.com/reagentes-analiticosmaterias-primas/reagentes-analiticosmaterias-primas/cloreto-de-potassio-p-a</t>
  </si>
  <si>
    <t xml:space="preserve">CATMAT: 382986 - Cloreto de prata, aspecto físico pó esbranquiçado, inodoro, fórmula química AgCl, peso molecular 143,32 g/mol, pureza mínima de 99%, característica adicional reagente P.A., número de referência química: CAS 7783-90-6. Entregue em frasco com 25 g. Atenção: observar a unidade de medida do SIPAC e colocar múltiplo de 25 g.</t>
  </si>
  <si>
    <t xml:space="preserve">382986</t>
  </si>
  <si>
    <t xml:space="preserve">https://sipac.sig.ufal.br/sipac/visualizaMaterial.do?popup=true&amp;id=13067&amp;acao=12</t>
  </si>
  <si>
    <t xml:space="preserve">CLORETO DE PRATA P.A.</t>
  </si>
  <si>
    <t xml:space="preserve">https://www.acsreagentes.com.br/cloreto-de-prata-pa-25g-acs-cientifica?gclid=Cj0KCQjwk7ugBhDIARIsAGuvgPZcv1GvhRcvOBhUwcaC4sLVOL3jI6Wo96vSUPeUo4L4ZjzWDBxq8X0aAla9EALw_wcB</t>
  </si>
  <si>
    <t xml:space="preserve">https://www.lojasynth.com/reagentes-analiticosmaterias-primas/reagentes-analiticosmaterias-primas/cloreto-de-prata-p-a?parceiro=2827&amp;variant_id=301285&amp;gclid=Cj0KCQjwk7ugBhDIARIsAGuvgPZLeoy9-CWGmk8lB5-iv6goEUYMt2XRmLPplF5-0THtSHptTDEu2k8aAmbSEALw_wcB</t>
  </si>
  <si>
    <t xml:space="preserve">https://www.didaticasp.com.br/cloreto-de-prata-pa-100g</t>
  </si>
  <si>
    <t xml:space="preserve">CATMAT -366472- Cloreto de sódio, aspecto físico: pó cristalino branco ou cristais incolores, composição química: NaCl anidro, peso molecular: 58,45 g/mol, pureza mínima de 99,5%, característica adicional: reagente P.A., número de referência química: CAS 7647-14-5</t>
  </si>
  <si>
    <t xml:space="preserve">366472</t>
  </si>
  <si>
    <t xml:space="preserve">https://sipac.sig.ufal.br/sipac/visualizaMaterial.do?popup=true&amp;id=22780&amp;acao=12</t>
  </si>
  <si>
    <t xml:space="preserve">CLORETO DE SÓDIO P.A. -</t>
  </si>
  <si>
    <t xml:space="preserve">https://www.glasslab.com.br/reagentes-e-meios/cloreto-de-sodio-cristal-pa-acs-1kg?parceiro=6858&amp;gclid=Cj0KCQjwk7ugBhDIARIsAGuvgPat0T7verY5MmbQC8IQU2XsUI9TcVoxoj82hzJ7JR3mrkG0p7hHZNMaAhBmEALw_wcB</t>
  </si>
  <si>
    <t xml:space="preserve">https://www.laderquimica.com.br/cloreto-de-sodio-pa-1-kg-dinamica?utm_source=Site&amp;utm_medium=GoogleMerchant&amp;utm_campaign=GoogleMerchant&amp;srsltid=Ad5pg_HIRTif9lj1kbty8la75SctvS1D_w3E1DF6dSeScuc_Cb_8i-c5GBk</t>
  </si>
  <si>
    <t xml:space="preserve">https://www.mmcomercio.net.br/produto/cloreto-de-sodio-99-pa-acs-1kg-exodo.html?utm_source=Site&amp;utm_medium=GoogleMerchant&amp;utm_campaign=GoogleMerchant&amp;srsltid=Ad5pg_Hihn5PhF2HbtrquT19_0--MWh_SHDWbB2cdJzKcX0BXnTba1sQ0oM</t>
  </si>
  <si>
    <t xml:space="preserve">CATMAT -360499- Cloreto de zinco, aspecto físico: grânulo branco cristalino, higroscópico, inodoro, peso molecular: 136,29 g/mol, fórmula química: ZnCl2 anidro, grau de pureza: pureza mínima de 97%, característica adicional: reagente P.A., número de referência química: CAS 7646-85-7. Entregue em frasco com 500 g. Atenção: observar a unidade de medida do SIPAC e colocar múltiplo de 500 g.</t>
  </si>
  <si>
    <t xml:space="preserve">360499</t>
  </si>
  <si>
    <t xml:space="preserve">https://sipac.sig.ufal.br/sipac/visualizaMaterial.do?popup=true&amp;id=22784&amp;acao=12</t>
  </si>
  <si>
    <t xml:space="preserve">CLORETO DE ZINCO P.A.</t>
  </si>
  <si>
    <t xml:space="preserve">https://www.glasslab.com.br/reagentes-e-meios/cloreto-de-zinco-anidro-pa-acs-500g?parceiro=6858&amp;gclid=Cj0KCQjwk7ugBhDIARIsAGuvgPYgu8rBXA1g6emavfrWceBOeL5GhSnz0WRO9ceiWCEuxVkchJnjhqEaAnvpEALw_wcB</t>
  </si>
  <si>
    <t xml:space="preserve">10.729.492/0001-04</t>
  </si>
  <si>
    <t xml:space="preserve">https://www.quimicenter.com.br/reagentes/acido-citrico-1h2o-pa-acs-1000g-exodo?parceiro=2837&amp;gclid=Cj0KCQjwk7ugBhDIARIsAGuvgPZNSk2svxRxlAG5wEnQlTZt_pz3L6sx5WAW1MsFul-vTF14EcLI_H0aAs6kEALw_wcB</t>
  </si>
  <si>
    <t xml:space="preserve">Quimicenter Produtos para Laboratórios LTDA </t>
  </si>
  <si>
    <t xml:space="preserve">https://www.labimport.com.br/reagentes/cloreto-de-zinco/cloreto-de-zinco-anidro-pa-acs-500g</t>
  </si>
  <si>
    <t xml:space="preserve">CATMAT -376251- TIAMINA, ASPECTO FÍSICO PÓ FINO, BRANCO, CRISTALINO, FÓRMULA QUÍMICA C12H17CLN4SO.HCL (SAL HIDROCLORETO), PESO MOLECULAR 337,27, GRAU DE PUREZA PUREZA MÍNIMA DE 98%, CARACTERÍSTICA ADICIONAL REAGENTE P.A., NÚMERO DE REFERÊNCIA QUÍMICA CAS 67-03-8. Entregue em frasco com 100 g. Atenção: observar a unidade de medida do SIPAC e colocar múltiplo de 100 g.</t>
  </si>
  <si>
    <t xml:space="preserve">376251</t>
  </si>
  <si>
    <t xml:space="preserve">https://sipac.sig.ufal.br/sipac/visualizaMaterial.do?popup=true&amp;id=30773&amp;acao=12</t>
  </si>
  <si>
    <t xml:space="preserve">CLORIDRATO DE TIAMINA P.A. (VITAMINA B1/HIDROCLORETO DE TIAMINA)</t>
  </si>
  <si>
    <t xml:space="preserve">https://www.acsreagentes.com.br/cloridrato-de-tiamina-98-vitamina-b1-pa-100g-acs-cientifica?utm_source=Site&amp;utm_medium=GoogleMerchant&amp;utm_campaign=GoogleMerchant</t>
  </si>
  <si>
    <t xml:space="preserve">https://www.labimport.com.br/reagentes/cloridrato-de-tiamina/cloridrato-de-tiamina-98-vitamina-b1-pa-25g-11883</t>
  </si>
  <si>
    <t xml:space="preserve">CATMAT -419337- CLOROFÓRMIO, ASPECTO FÍSICO LÍQUIDO LÍMPIDO, INCOLOR, ODOR AGRADÁVEL, PESO MOLECULAR 120,38, FÓRMULA QUÍMICA CDCL3 (CLOROFÓRMIO DEUTERADO), GRAU DE PUREZA PUREZA ISOTÓPICA DE 99,8 ATOM % D, CARACTERÍSTICA ADICIONAL COM 0.03 % (V/V) TMS, NÚMERO DE REFERÊNCIA QUÍMICA CAS 865-49-6. Entregue em frasco com 50 g.  Atenção: observar a unidade de medida do SIPAC e colocar múltiplo de 50 g. Entregue em frasco de vidro ambar.</t>
  </si>
  <si>
    <t xml:space="preserve">419337</t>
  </si>
  <si>
    <t xml:space="preserve">https://sipac.sig.ufal.br/sipac/visualizaMaterial.do?popup=true&amp;id=30779&amp;acao=12</t>
  </si>
  <si>
    <t xml:space="preserve">CLOROFÓRMIO DEUTERADO 99,8%</t>
  </si>
  <si>
    <t xml:space="preserve">Mililitros</t>
  </si>
  <si>
    <t xml:space="preserve">https://www.didaticasp.com.br/produto/cloroformio-d-1-deuterado-estabilizado-com-ag-100ml.html</t>
  </si>
  <si>
    <t xml:space="preserve">CATMAT -380869- CLOROFÓRMIO, ASPECTO FÍSICO: LÍQUIDO CLARO, INCOLOR, ODOR FORTE CARACTERÍSTICO, PESO MOLECULAR: 119,38 G,MOL, FÓRMULA QUÍMICA: CHCL3, GRAU DE PUREZA: PUREZA MÍNIMA DE 99%, CARACTERÍSTICA ADICIONAL: REAGENTE P.A. ACS, NÚMERO DE REFERÊNCIA QUÍMICA: CAS 67-66-3</t>
  </si>
  <si>
    <t xml:space="preserve">380869</t>
  </si>
  <si>
    <t xml:space="preserve">https://sipac.sig.ufal.br/sipac/visualizaMaterial.do?popup=true&amp;id=22786&amp;acao=12</t>
  </si>
  <si>
    <t xml:space="preserve">CLOROFÓRMIO P.A. ACS</t>
  </si>
  <si>
    <t xml:space="preserve">https://www.glasslab.com.br/reagentes-e-meios/cloroformio-pa-acs-1l</t>
  </si>
  <si>
    <t xml:space="preserve">CATMAT -374874- Cobre, aspecto físico: pó avermelhado, inodoro, fórmula química: Cu, peso molecular: 63,54 g/mol, pureza mínima de 99%, característica adicional: reagente P.A., número de referência química: CAS 7440-50-8. Atenção: observar a unidade de medida do SIPAC e colocar múltiplo de 100 g.</t>
  </si>
  <si>
    <t xml:space="preserve">https://sipac.sig.ufal.br/sipac/visualizaMaterial.do?popup=true&amp;id=25144&amp;acao=12</t>
  </si>
  <si>
    <t xml:space="preserve">COBRE METÁLICO P.A.</t>
  </si>
  <si>
    <t xml:space="preserve">https://www.didaticasp.com.br/produto/cobre-metalico-em-po-pa-100g-cas-7440-50-8.html</t>
  </si>
  <si>
    <t xml:space="preserve">https://ludwigbiotec.com.br/loja/produto/cobre-metalico-em-po-p-a-100-g/1854</t>
  </si>
  <si>
    <t xml:space="preserve">NEON</t>
  </si>
  <si>
    <t xml:space="preserve">CATMAT -327536- Conjunto corante hematológico panótico rápido, aspecto físico: líquido, características adicionais: frascos separados contendo, composição: 0,1% de ciclohexadienos, 0,1% de azobenzosulfônicos, componentes adicionais: 0,1% de fenotiazinas. cada reagente acomodado em frasco de 500 mL
</t>
  </si>
  <si>
    <t xml:space="preserve">327536</t>
  </si>
  <si>
    <t xml:space="preserve">https://sipac.sig.ufal.br/sipac/visualizaMaterial.do?popup=true&amp;id=22796&amp;acao=12</t>
  </si>
  <si>
    <t xml:space="preserve">CONJUNTO CORANTE HEMATOLÓGICO PANÓTICO RÁPIDO</t>
  </si>
  <si>
    <t xml:space="preserve">36.877.185/0001-64</t>
  </si>
  <si>
    <t xml:space="preserve">https://www.h4prospera.com.br/conjunto-coloracao-panotico-rapido-laborclin-?utm_source=google&amp;utm_medium=Shopping&amp;utm_campaign=conjunto-coloracao-panotico-rapido-laborclin-&amp;inStock</t>
  </si>
  <si>
    <t xml:space="preserve">H4Prospera Distribuidora e Importadora Ltda</t>
  </si>
  <si>
    <t xml:space="preserve">Laborclin</t>
  </si>
  <si>
    <t xml:space="preserve">https://www.mmcomercio.net.br/produto/coloracao-panotico-rapido-conjunto-3x500ml-laborclin.html?utm_source=Site&amp;utm_medium=GoogleMerchant&amp;utm_campaign=GoogleMerchant&amp;srsltid=Ad5pg_FoGXbEmYIMoseC-c8w24pk0MButHCIfg-xu7FmZwEyMO2Wgb-74-c</t>
  </si>
  <si>
    <t xml:space="preserve">https://www.dsyslab.com.br/reagentes/corantes/coloracao-panotico-rapido-kit-com-3-frascos-de-500-ml-cada-laborclin?parceiro=7063&amp;srsltid=Ad5pg_Fi0XLrRZb0XaYSFwIXE-jUZpo0TCpEHk5tF9smzk_H1fIDEFTxuOY</t>
  </si>
  <si>
    <t xml:space="preserve">CATMAT -327534- CONJUNTO REAGENTE PARA COLORAÇÃO DE GRAM, ASPECTO FÍSICO: LÍQUIDO, CARACTERÍSTICAS ADICIONAIS: FRASCOS SEPARADOS CONTENDO, COMPOSIÇÃO: CRISTALVIOLETA,LUGOL,ETANOL-ACETONA,FUCSINA BÁSICA, CADA REAGENTE ACOMODADO EM FRASCO DE 500 ML</t>
  </si>
  <si>
    <t xml:space="preserve">327534</t>
  </si>
  <si>
    <t xml:space="preserve">https://sipac.sig.ufal.br/sipac/visualizaMaterial.do?popup=true&amp;id=22800&amp;acao=12</t>
  </si>
  <si>
    <t xml:space="preserve">CONJUNTO REAGENTE PARA COLORAÇÃO DE GRAM 4 FRASCOS COM 500 ML</t>
  </si>
  <si>
    <t xml:space="preserve">https://www.labimport.com.br/reagentes/kit-de-coloracao-de-gram/kit-de-coloracao-de-gram-04x500ml</t>
  </si>
  <si>
    <t xml:space="preserve">https://www.h4prospera.com.br/conjunto-para-coloracao-de-gram-?utm_source=google&amp;utm_medium=Shopping&amp;utm_campaign=conjunto-para-coloracao-de-gram-&amp;inStock</t>
  </si>
  <si>
    <t xml:space="preserve">https://www.dsyslab.com.br/reagentes/conjunto-para-coloracao-de-gram-caixa-com-4-frascos-pa185-newprov?parceiro=7063&amp;srsltid=Ad5pg_GaRNvelLvoKXDszpGnEfpuLrq6jde4WhsjJbkyHKNOsQSp_Xbkzkc</t>
  </si>
  <si>
    <t xml:space="preserve">CORANTE- KIT - TRICRÔMIO DE MASSON (COM AZUL DE ANILINA) - CORANTE, TIPO CONJUNTO COLORAÇÃO TRICRÔMIO DE MASSON, COMPOSIÇÃO HEMATOXILINA WEIGERT, ÁCIDO PÍCRICO, COMPONENTES ADICIONAIS FUCSINA MALLORY, AZUL ANILINA MASSON.</t>
  </si>
  <si>
    <t xml:space="preserve">368632</t>
  </si>
  <si>
    <t xml:space="preserve">https://sipac.sig.ufal.br/sipac/visualizaMaterial.do?popup=true&amp;id=28212&amp;acao=12</t>
  </si>
  <si>
    <t xml:space="preserve">CONJUNTO TRICRÔMIO DE MASSON</t>
  </si>
  <si>
    <t xml:space="preserve">CATMAT -359256- Cromato de potássio, aspecto físico: pó cristalino amarelo alaranjado, inodoro, fórmula química: K2CrO4 anidro, massa molecular: 194,19 g/mol, pureza mínima de 99%, característica adicional: reagente P.A., número de referência química: CAS 7789-00-6, entregue em frasco de 500 g. Atenção: observar a unidade de medida do SIPAC e colocar múltiplo de 500 g.</t>
  </si>
  <si>
    <t xml:space="preserve">359256</t>
  </si>
  <si>
    <t xml:space="preserve">https://sipac.sig.ufal.br/sipac/visualizaMaterial.do?popup=true&amp;id=23411&amp;acao=12</t>
  </si>
  <si>
    <t xml:space="preserve">CROMATO DE POTÁSSIO P.A.</t>
  </si>
  <si>
    <t xml:space="preserve">https://www.biomedh.com.br/007233/cromato-de-potassio-pa-500gr.html</t>
  </si>
  <si>
    <t xml:space="preserve">https://www.didaticasp.com.br/produto/cromato-de-potassio-pa-250g-cas-7789-00-6-ssp.html</t>
  </si>
  <si>
    <t xml:space="preserve">https://aclmaringa.com.br/produto/cromato-de-potassio-pa/</t>
  </si>
  <si>
    <t xml:space="preserve">CATMAT - 346522 - DICLOROMETANO HPLC- DICLOROMETANO, ASPECTO FÍSICO LÍQUIDO CLARO, INCOLOR, FÓRMULA QUÍMICA CH2CL2, MAS SA MOLECULAR 84,93, GRAU DE PUREZA MÍNIMA DE 99,9%, CARACTERÍSTICA ADICIONAL REAGENTE GRAU HPLC, CAS 75-09-2. ENTREGUE EM FRASCO COM 1 L.</t>
  </si>
  <si>
    <t xml:space="preserve">346522</t>
  </si>
  <si>
    <t xml:space="preserve">https://sipac.sig.ufal.br/sipac/visualizaMaterial.do?popup=true&amp;id=23414&amp;acao=12</t>
  </si>
  <si>
    <t xml:space="preserve">DICLOROMETANO HPLC</t>
  </si>
  <si>
    <t xml:space="preserve">https://www.didaticasp.com.br/diclorometano-uvhplc-espectroscopico-1l-pfssp</t>
  </si>
  <si>
    <t xml:space="preserve">nao informada</t>
  </si>
  <si>
    <t xml:space="preserve">https://www.glasslab.com.br/reagentes-e-meios/diclorometano-hplc-1l</t>
  </si>
  <si>
    <t xml:space="preserve">CATMAT -346521- Diclorometano, aspecto físico: líquido claro, incolor, fórmula química: CH2Cl2, massa molecular: 84,93 g/mol, pureza mínima de 99%, característica adicional: reagente P.A., número de referência química: CAS 75-09-2. Entregue em frasco de vidro ambar.
</t>
  </si>
  <si>
    <t xml:space="preserve">346521</t>
  </si>
  <si>
    <t xml:space="preserve">https://sipac.sig.ufal.br/sipac/visualizaMaterial.do?popup=true&amp;id=23413&amp;acao=12</t>
  </si>
  <si>
    <t xml:space="preserve">DICLOROMETANO P.A. -</t>
  </si>
  <si>
    <t xml:space="preserve">https://www.glasslab.com.br/reagentes-e-meios/diclorometano-pa-acs-99-5-1l</t>
  </si>
  <si>
    <t xml:space="preserve">https://www.didaticasp.com.br/produto/diclorometano-pa-1l-cas-75-09-2-pfssp-concentracao-100-densidade-133.html</t>
  </si>
  <si>
    <t xml:space="preserve">CATMAT -370013- Dicromato de amônio, aspecto físico: pó cristalino vermelho alaranjado, brilhante, fórmula química: (NH4)2Cr2O7, peso molecular: 252,06 g/mol, pureza mínima de 97%, característica adicional: reagente P.A., número de referência química: CAS 7789-09-5. Entregue em frasco com 500 g.</t>
  </si>
  <si>
    <t xml:space="preserve">370013</t>
  </si>
  <si>
    <t xml:space="preserve">https://sipac.sig.ufal.br/sipac/visualizaMaterial.do?popup=true&amp;id=23415&amp;acao=12</t>
  </si>
  <si>
    <t xml:space="preserve">DICROMATO DE AMÔNIO P.A.</t>
  </si>
  <si>
    <t xml:space="preserve">https://www.lojanetlab.com.br/reagentes/pa/dicromato-de-amonio-pa-bicromato</t>
  </si>
  <si>
    <t xml:space="preserve">https://ludwigbiotec.com.br/loja/produto/dicromato-de-amonio-p-a-500-g/1860</t>
  </si>
  <si>
    <t xml:space="preserve">https://www.acsreagentes.com.br/dicromato-de-amonio-bicromato-pa-500g-acs-cientifica?utm_source=Site&amp;utm_medium=GoogleMerchant&amp;utm_campaign=GoogleMerchant&amp;gclid=Cj0KCQjwk7ugBhDIARIsAGuvgPZGyJpJxgxGHGC1d3ouRmZxtaiR5Yv-WjXNqYH2jAx-Ulcd_iqaiskaAkXrEALw_wcB</t>
  </si>
  <si>
    <t xml:space="preserve">CATMAT -412588- Dicromato de potássio, aspecto físico: pó fino, cristalino, cor laranja, composição química: K2Cr2O7, peso molecular: 294,18 g/mol, pureza mínima de 99%, característica adicional: reagente P.A. ACS, número de referência química: CAS 7778-50-9, entregue em frasco de 250 g. Atenção: observar a unidade de medida do SIPAC e colocar múltiplo de 250 g.</t>
  </si>
  <si>
    <t xml:space="preserve">412588</t>
  </si>
  <si>
    <t xml:space="preserve">https://sipac.sig.ufal.br/sipac/visualizaMaterial.do?popup=true&amp;id=23424&amp;acao=12</t>
  </si>
  <si>
    <t xml:space="preserve">DICROMATO DE POTÁSSIO P.A. ACS</t>
  </si>
  <si>
    <t xml:space="preserve">https://www.glasslab.com.br/reagentes-e-meios/dicromato-de-potassio-pa-500g</t>
  </si>
  <si>
    <t xml:space="preserve">https://www.didaticasp.com.br/produto/dicromato-de-potassio-pa-500g-cas-7778-50-9-pfssp-concentracao-99-densidade-100.html</t>
  </si>
  <si>
    <t xml:space="preserve">CATMAT -449870- Ácido Etilenodiaminotetracético (Edta) Composição Química: Sal Magnésico Dissódico Hidratado , Massa Molar: 358,50 G/MOL, Fórmula Química: C10H12MgN2Na2O8 · XH2O , Pureza Mínima De 99% , Reagente P.A., Número De Referência Química*: CAS 14402-88-1 , Aspecto Físico": Pó. Entregue em frasco de 25 g. Atenção: observar a unidade de medida do SIPAC e colocar múltiplo de 25 g.</t>
  </si>
  <si>
    <t xml:space="preserve">https://sipac.sig.ufal.br/sipac/visualizaMaterial.do?popup=true&amp;id=30775&amp;acao=12</t>
  </si>
  <si>
    <t xml:space="preserve">EDTA de Magnésio Sal Dissódico P.A.</t>
  </si>
  <si>
    <t xml:space="preserve">https://www.acsreagentes.com.br/edta-de-magnesio-sal-dissodico-pa-xh2o-25g-acs-cientifica?utm_source=Site&amp;utm_medium=GoogleMerchant&amp;utm_campaign=GoogleMerchant&amp;gclid=Cj0KCQjwk7ugBhDIARIsAGuvgPaXo0b1-UFbzmDzhifMCiUx3JsaPzZlNA5Ali8UVw8ypatDYLKagakaAtQWEALw_wcB</t>
  </si>
  <si>
    <t xml:space="preserve">CATMAT -366502- Ácido etilenodiaminotetracético (EDTA), aspecto físico pó branco cristalino, peso molecular 372,24 g/mol, fórmula química C10H14N2O8NA2.2H2O (sal dissódico dihidratado), pureza mínima de 99%, característica adicional reagente P.A., número de referência química CAS 6381-92-6. Entregue em frasco com 500 g. Atenção: observar a unidade de medida do SIPAC e colocar múltiplo de 500 g.</t>
  </si>
  <si>
    <t xml:space="preserve">366502</t>
  </si>
  <si>
    <t xml:space="preserve">https://sipac.sig.ufal.br/sipac/visualizaMaterial.do?popup=true&amp;id=22688&amp;acao=12</t>
  </si>
  <si>
    <t xml:space="preserve">EDTA SAL DISSÓDICO (2H2O) P.A.</t>
  </si>
  <si>
    <t xml:space="preserve">https://www.acsreagentes.com.br/edta-sal-dissodico-2h2o-pa-acs-500g-acs-cientifica?utm_source=Site&amp;utm_medium=GoogleMerchant&amp;utm_campaign=GoogleMerchant&amp;gclid=Cj0KCQjwk7ugBhDIARIsAGuvgPYCnK9YBkJAKdTtwxfcNUS6FAw3nKfxWXSUut_jo60YGTVHf7IjFbQaAgOCEALw_wcB</t>
  </si>
  <si>
    <t xml:space="preserve">https://www.glasslab.com.br/reagentes-e-meios/edta-sal-dissodico-2h2o-pa-acs-500g?parceiro=6858&amp;gclid=Cj0KCQjwk7ugBhDIARIsAGuvgPaZXqIMg8tOeFV9I2A_Yoaamk2wS-fQNjOzmMBA83Msg0RVg6395q8aAiD1EALw_wcB</t>
  </si>
  <si>
    <t xml:space="preserve">https://www.laderquimica.com.br/edta-sal-dissodico-2h2o-pa-500g-dinamica?utm_source=Site&amp;utm_medium=GoogleMerchant&amp;utm_campaign=GoogleMerchant&amp;srsltid=Ad5pg_HHLR96iCEzMfcZqFHkuUR1D5ynulVP-KJzJ0_gZXuEdcrbDIqQ1iE</t>
  </si>
  <si>
    <t xml:space="preserve">CATMAT - 349846 - Enxofre, aspecto físico: pó fino amarelo, fórmula química: S, peso molecular: 32,07 g/mol, pureza mínima de 99,5%, número de referência química: CAS 7704-34-9, entregue em frasco de 500 g. Atenção: observar a unidade de medida do SIPAC e colocar múltiplo de 500 g.</t>
  </si>
  <si>
    <t xml:space="preserve">349846</t>
  </si>
  <si>
    <t xml:space="preserve">https://sipac.sig.ufal.br/sipac/visualizaMaterial.do?popup=true&amp;id=23433&amp;acao=12</t>
  </si>
  <si>
    <t xml:space="preserve">ENXOFRE EM PÓ PURO</t>
  </si>
  <si>
    <t xml:space="preserve">https://www.acsreagentes.com.br/enxofre-puro-500g-acs-cientifica?utm_source=Site&amp;utm_medium=GoogleMerchant&amp;utm_campaign=GoogleMerchant&amp;gclid=Cj0KCQjwk7ugBhDIARIsAGuvgPb6hzB10KoeMrYGdqXGGFSPztT7gB9ZHZ-DGF7-u-tapZIOXW-Bl3QaAiUJEALw_wcB</t>
  </si>
  <si>
    <t xml:space="preserve">https://www.labimport.com.br/reagentes/enxofre/enxofre-em-po-puro-500g-11919</t>
  </si>
  <si>
    <t xml:space="preserve">https://www.didaticasp.com.br/enxofre-puro-500g</t>
  </si>
  <si>
    <t xml:space="preserve">CATMAT -352740- Éter de petróleo, aspecto físico líquido incolor, límpido, com odor de gasolina, fórmula química mistura de hidrocarbonetos derivados do petróleo, faixa de destilação destilados entre 30 e 60ºc, teor de pureza pureza mínima de 99,5%, característica adicional reagente P.A., número de referência química CAS 8032-32-4. Entregue em frasco de vidro ambar.</t>
  </si>
  <si>
    <t xml:space="preserve">352740</t>
  </si>
  <si>
    <t xml:space="preserve">https://sipac.sig.ufal.br/sipac/visualizaMaterial.do?popup=true&amp;id=9574&amp;acao=12</t>
  </si>
  <si>
    <t xml:space="preserve">ÉTER DE PETRÓLEO (30-60ºC) P.A.</t>
  </si>
  <si>
    <t xml:space="preserve">https://www.acsreagentes.com.br/eter-de-petroleo-30-60-pa-acs-1l-acs-cientifica?utm_source=Site&amp;utm_medium=GoogleMerchant&amp;utm_campaign=GoogleMerchant&amp;gclid=Cj0KCQjwk7ugBhDIARIsAGuvgPY_bq_i85MO7EOQ53TA59LvnCRkABjjG9SVXd0Ue8ZJD2pu-3d_a2saAilwEALw_wcB</t>
  </si>
  <si>
    <t xml:space="preserve">https://www.glasslab.com.br/reagentes-e-meios/eter-de-petroleo-30-60-pa-1l?parceiro=6858&amp;gclid=Cj0KCQjwk7ugBhDIARIsAGuvgPa3-bqaKQRM_sl4dLM9GR8tJTbW3yVLSPY72Vek20AYAHkw7pYv2wAaAhPREALw_wcB</t>
  </si>
  <si>
    <t xml:space="preserve">https://www.labimport.com.br/reagentes/eter-de-petroleo/eter-de-petroleo-30-70-pa-acs-1-l-11927</t>
  </si>
  <si>
    <t xml:space="preserve">CATMAT - 456251 - Éter dietílico, aspecto físico: líquido, pureza mínima de 99%, peso molecular: 74,12 g/mol, característica adicional: reagente P.A. ACS, número de referência química: CAS 60-29-7.</t>
  </si>
  <si>
    <t xml:space="preserve">456251</t>
  </si>
  <si>
    <t xml:space="preserve">https://sipac.sig.ufal.br/sipac/visualizaMaterial.do?popup=true&amp;id=2216&amp;acao=12</t>
  </si>
  <si>
    <t xml:space="preserve">ÉTER ETÍLICO P.A. ACS (DIETÍLICO)</t>
  </si>
  <si>
    <t xml:space="preserve">https://www.biomedh.com.br/008119/eter-etilico-pa-acs-1000ml.html</t>
  </si>
  <si>
    <t xml:space="preserve">https://chepplier.com/produto/pf-eter-etilico-pa-98-1000ml/</t>
  </si>
  <si>
    <t xml:space="preserve">Chepplier Chemical Supplier LTDA</t>
  </si>
  <si>
    <t xml:space="preserve">https://www.didaticasp.com.br/produto/eter-etilico-pa-acs-1l-cas-60-29-7-pfssp-concentracao-98-densidade-071.html</t>
  </si>
  <si>
    <t xml:space="preserve">CATMAT -413588- Etilenoglicol Monometil Éter (2-metoxietanol) 99% P.A.; Líquido transparente; Fórmula C3H8O2; Peso molecular 76,09g/mol; CAS 109-86-4.</t>
  </si>
  <si>
    <t xml:space="preserve">413588</t>
  </si>
  <si>
    <t xml:space="preserve">https://sipac.sig.ufal.br/sipac/visualizaMaterial.do?popup=true&amp;id=27601&amp;acao=12</t>
  </si>
  <si>
    <t xml:space="preserve">ETILENOGLICOL MONOMETIL ÉTER (2-METOXIETANOL) P.A.</t>
  </si>
  <si>
    <t xml:space="preserve">https://www.labimport.com.br/reagentes/etilenoglicol/etilenoglicol-monoetil-eter-etiglicol-pa-1l-11929</t>
  </si>
  <si>
    <t xml:space="preserve">https://www.glasslab.com.br/reagentes-e-meios/etileno-glicol-mono-etil-eter-pa-1l?parceiro=6858&amp;srsltid=Ad5pg_Ff6Ai2i85EnbGJi5AbLANS6tQYtR0hQeRpqfZh0DdKEp-5RO4ohhU</t>
  </si>
  <si>
    <t xml:space="preserve">https://www.didaticasp.com.br/etilenoglicol-monoetil-eter-1l</t>
  </si>
  <si>
    <t xml:space="preserve">CATMAT -350030- ETILENOGLICOL (ETANO-1,2-DIOL), ASPECTO FÍSICO LÍQUIDO INCOLOR, ODOR ADOCICADO, PESO MOLECULAR 62,07, FÓRMULA QUÍMICA C2H6O2, GRAU DE PUREZA PUREZA MÍNIMA DE 99,5%, CARACTERÍSTICA ADICIONAL REAGENTE P.A., NÚMERO DE REFERÊNCIA QUÍMICA CAS 107-21-1</t>
  </si>
  <si>
    <t xml:space="preserve">350030</t>
  </si>
  <si>
    <t xml:space="preserve">https://sipac.sig.ufal.br/sipac/visualizaMaterial.do?popup=true&amp;id=18088&amp;acao=12</t>
  </si>
  <si>
    <t xml:space="preserve">ETILENOGLICOL P.A.</t>
  </si>
  <si>
    <t xml:space="preserve">https://www.glasslab.com.br/reagentes-e-meios/etileno-glicol-pa-1l?parceiro=6858&amp;gclid=Cj0KCQjwk7ugBhDIARIsAGuvgPZBxrZutPk6VQrsGQpJh2ai1hMPxXDPol_8HdUtUdEzjB2EytYJWsYaAmzQEALw_wcB</t>
  </si>
  <si>
    <t xml:space="preserve">https://www.lojasynth.com/reagentes-analiticosmaterias-primas/reagentes-analiticosmaterias-primas/etileno-glicol-1100g-p-a</t>
  </si>
  <si>
    <t xml:space="preserve">20.198.502/0001-86</t>
  </si>
  <si>
    <t xml:space="preserve">https://www.lablac.com.br/etilenoglicol-pa-1l</t>
  </si>
  <si>
    <t xml:space="preserve">Viva laboratório de Analysis Ltda</t>
  </si>
  <si>
    <t xml:space="preserve">CATMAT -377674- N-feniltioureia, aspecto físico: pó cristalino esbranquiçado, fórmula química: C6H5NHCSNH2 (1-fenil-2-tioureia), peso molecular: 152,23 g/mol, grau de pureza: pureza mínima de 98%, número de referência química: CAS 103-85-5, entregue em 10 g. Atenção: observar a unidade de medida do SIPAC e colocar múltiplo de 10 g.</t>
  </si>
  <si>
    <t xml:space="preserve">377674</t>
  </si>
  <si>
    <t xml:space="preserve">https://sipac.sig.ufal.br/sipac/visualizaMaterial.do?popup=true&amp;id=27614&amp;acao=12</t>
  </si>
  <si>
    <t xml:space="preserve">FENILTIOCARBAMIDA (FENILTIOUREIA)</t>
  </si>
  <si>
    <t xml:space="preserve">https://www.acsreagentes.com.br/feniltiocarbamida-feniltioureia-pa-5g-acs-cientifica</t>
  </si>
  <si>
    <t xml:space="preserve">https://www.glasslab.com.br/reagentes-e-meios/feniltiocarbamida-feniltioureia-pa-10g?parceiro=6858&amp;srsltid=Ad5pg_Fbr0czbSet6fUKOJo8zN2ttsosakfHPuZx_-I9xTEwO5nLNZm6lwk</t>
  </si>
  <si>
    <t xml:space="preserve">CATMAT - 416321 - FENOL, ASPECTO FÍSICO: CRISTAL INCOLOR, ALTAMENTE HIGROSCÓPICO, FÓRMULA QUÍMICA: C6H5OH, PESO MOLECULAR: 94,11 G/MOL, PUREZA MÍNIMA DE 99 %, CARACTERÍSTICA ADICIONAL: REAGENTE P.A. ACS, NÚMERO DE REFERÊNCIA QUÍMICA: CAS 108-95-2. ENTREGUE EM FRASCO COM 500 G. ATENÇÃO: OBSERVAR A UNIDADE DE MEDIDA DO SIPAC E COLOCAR MÚLTIPLO DE 500 G.</t>
  </si>
  <si>
    <t xml:space="preserve">416321</t>
  </si>
  <si>
    <t xml:space="preserve">https://sipac.sig.ufal.br/sipac/visualizaMaterial.do?popup=true&amp;id=11204&amp;acao=12</t>
  </si>
  <si>
    <t xml:space="preserve">FENOL CRISTAL P.A. ACS (ÁCIDO FÊNICO)</t>
  </si>
  <si>
    <t xml:space="preserve">https://www.acsreagentes.com.br/fenol-cristal-paacs-acido-fenico-500g-acs-cientifica?utm_source=Site&amp;utm_medium=GoogleMerchant&amp;utm_campaign=GoogleMerchant</t>
  </si>
  <si>
    <t xml:space="preserve">https://www.lojaprolab.com.br/fenol-cristal-pa-acs-81559</t>
  </si>
  <si>
    <t xml:space="preserve">https://www.labimport.com.br/reagentes/fenol/fenol-cristal-pa-acs-acido-fenico-500g</t>
  </si>
  <si>
    <t xml:space="preserve">CATMAT -366475- Fenolftaleína, composição: C20H1404, peso molecular: 318,33 g/mol, aspecto físico: cristal branco a levemente amarelado, característica adicional: reagente P.A., número de referência química: CAS 77-09-8. Entregue como frasco de 25 g. Atenção: observar a unidade de medida do SIPAC e colocar múltiplo de 25 g.</t>
  </si>
  <si>
    <t xml:space="preserve">366475</t>
  </si>
  <si>
    <t xml:space="preserve">https://sipac.sig.ufal.br/sipac/visualizaMaterial.do?popup=true&amp;id=1018&amp;acao=12</t>
  </si>
  <si>
    <t xml:space="preserve">FENOLFTALEÍNA P.A.</t>
  </si>
  <si>
    <t xml:space="preserve">https://www.glasslab.com.br/reagentes-e-meios/fenolftaleina-pa-acs-ci-764-25g?parceiro=6858&amp;gclid=Cj0KCQjwk7ugBhDIARIsAGuvgPZzFscJtLTJ2xXYG3HrIQgq2Z86J-kyRDXpm3hlD08nJdr1U8IDm_gaArC9EALw_wcB</t>
  </si>
  <si>
    <t xml:space="preserve">https://www.orionprodutoscientificos.com.br/fenolftaleina-pa-ci-764-25g-exodo-cientifica?utm_source=Site&amp;utm_medium=GoogleMerchant&amp;utm_campaign=GoogleMerchant&amp;gclid=Cj0KCQjwk7ugBhDIARIsAGuvgPYmTAZw4GHaPJZVnHDT0S0Ea7jnDQg26Jmgnk4LNyVPZKLsdxZBJ0UaAr3VEALw_wcB</t>
  </si>
  <si>
    <t xml:space="preserve">https://www.laderquimica.com.br/fenolftaleina-pa-25g-neon</t>
  </si>
  <si>
    <t xml:space="preserve">CATMAT -353654- Ferro elementar, aspecto físico: pó agulhado cinza, fórmula química: Fe, peso molecular: 55,85 g/mol, teor de pureza: pureza mínima de 99%, característica adicional: reagente P.A., número de referência química: CAS 7439-89-6, entregue em frasco de 500 g. Atenção: observar a unidade de medida do SIPAC e colocar múltiplo de 500 g.</t>
  </si>
  <si>
    <t xml:space="preserve">353654</t>
  </si>
  <si>
    <t xml:space="preserve">https://sipac.sig.ufal.br/sipac/visualizaMaterial.do?popup=true&amp;id=23661&amp;acao=12</t>
  </si>
  <si>
    <t xml:space="preserve">FERRO REDUZIDO P.A. (FERRO ELEMENTAR)</t>
  </si>
  <si>
    <t xml:space="preserve">https://www.glasslab.com.br/reagentes-e-meios/ferro-reduzido-po-pa-1kg?parceiro=6858&amp;srsltid=Ad5pg_H53hWaa7OTECSMAw1bkA9JpJkvOFMXqg4PzY8LqKeBRcK4N6IaANs</t>
  </si>
  <si>
    <t xml:space="preserve">https://www.labimport.com.br/reagentes/ferro-reduzido/ferro-reduzido-po-pa-500g-11951</t>
  </si>
  <si>
    <t xml:space="preserve">https://www.orionprodutoscientificos.com.br/ferro-reduzido-po-pa-500g-exodo-cientifica-FR04704RA?utm_source=Site&amp;utm_medium=GoogleMerchant&amp;utm_campaign=GoogleMerchant</t>
  </si>
  <si>
    <t xml:space="preserve">CATMAT -353039- Ferrocianeto de potássio, aspecto físico cristal amarelo, fórmula química K4Fe(CN)6.3H20 (tri-hidratado), peso molecular 422,39 g/mol, mínima de 98%, característica adicional reagente P.A., número de referência química: CAS 14459-95-1, entregue em frasco de 250 g. Atenção: observar a unidade de medida do SIPAC e colocar múltiplo de 250 g.</t>
  </si>
  <si>
    <t xml:space="preserve">353039</t>
  </si>
  <si>
    <t xml:space="preserve">https://sipac.sig.ufal.br/sipac/visualizaMaterial.do?popup=true&amp;id=2468&amp;acao=12</t>
  </si>
  <si>
    <t xml:space="preserve">FERROCIANETO DE POTÁSSIO (3H20) P.A.</t>
  </si>
  <si>
    <t xml:space="preserve">https://www.acsreagentes.com.br/ferrocianeto-de-potassio-3h2o-pa-acs-250g-acs-cientifica?utm_source=Site&amp;utm_medium=GoogleMerchant&amp;utm_campaign=GoogleMerchant</t>
  </si>
  <si>
    <t xml:space="preserve">https://www.glasslab.com.br/reagentes-e-meios/ferrocianeto-de-potassio-3h2o-pa-acs-250g?parceiro=6858&amp;srsltid=Ad5pg_Gr4MAXgJ-kWCGUb5iZkg1d8ROvHxjWTNZQWdzjTbLoBgQOWsHu8fA</t>
  </si>
  <si>
    <t xml:space="preserve">https://www.labimport.com.br/reagentes/ferricianeto/ferrocianeto-de-potassio-3h2o-pa-acs-500g</t>
  </si>
  <si>
    <t xml:space="preserve">CATMAT -356158- 1,3,5-TRI-HIDROXIBENZENO (FLOROGLUCINOL), ASPECTO FÍSICO:PÓ ESBRANQUIÇADO, CRISTALINO, INODORO, FÓRMULA QUÍMICA: C6H6O3.2H2O (DIHIDRATADO), PESO MOLECULAR:162,14 G/MOL, PUREZA MÍNIMA DE 98%, CARACTERÍSTICA ADICIONAL:REAGENTE P.A., NÚMERO DE REFERÊNCIA QUÍMICA: CAS 6099-90-7.  Entregue em frasco com 25g. Atenção: observar a unidade de medida do SIPAC e colocar múltiplo de 25g.</t>
  </si>
  <si>
    <t xml:space="preserve">356158</t>
  </si>
  <si>
    <t xml:space="preserve">https://sipac.sig.ufal.br/sipac/visualizaMaterial.do?popup=true&amp;id=22997&amp;acao=12</t>
  </si>
  <si>
    <t xml:space="preserve">FLOROGLUCINOL (2H2O) P.A.</t>
  </si>
  <si>
    <t xml:space="preserve">https://www.acsreagentes.com.br/floroglucinolfluroglucina-2h2o-pa-25g-acs-cientifica?utm_source=Site&amp;utm_medium=GoogleMerchant&amp;utm_campaign=GoogleMerchant&amp;gclid=Cj0KCQjwk7ugBhDIARIsAGuvgPZScpAp_EVySzf_pdamPGl_XFZLjisNfDXSGOjkX-t11p73m216CHgaAqM-EALw_wcB</t>
  </si>
  <si>
    <t xml:space="preserve">https://www.glasslab.com.br/reagentes-e-meios/floroglucinol-fluroglucina-2h2o-pa-25g?parceiro=6858&amp;gclid=Cj0KCQjwk7ugBhDIARIsAGuvgPYEOXGZAsCB7KCPg8fbLbjX0Avl6VD0pR0_hNUOSQfNKlwPqk0h1jEaAq9qEALw_wcB</t>
  </si>
  <si>
    <t xml:space="preserve">CATMAT -412629- Fluoreto de sódio, aspecto físico pó cristalino branco, inodoro, fórmula química NAF, peso molecular 41,99 g/mol, pureza mínima de 99%, característica adicional reagente P.A, número de referência química CAS 7681-49-4. Entregue em frasco com 100 g. Atenção: observar a unidade de medida do SIPAC e colocar múltiplo de 100 g.</t>
  </si>
  <si>
    <t xml:space="preserve">412629</t>
  </si>
  <si>
    <t xml:space="preserve">https://sipac.sig.ufal.br/sipac/visualizaMaterial.do?popup=true&amp;id=18091&amp;acao=12</t>
  </si>
  <si>
    <t xml:space="preserve">FLUORETO DE SÓDIO P.A. -</t>
  </si>
  <si>
    <t xml:space="preserve">https://www.glasslab.com.br/reagentes-e-meios/fluoreto-de-sodio-pa-500g</t>
  </si>
  <si>
    <t xml:space="preserve">EXODO CIENTIFICA</t>
  </si>
  <si>
    <t xml:space="preserve">71.443.667/0001-07</t>
  </si>
  <si>
    <t xml:space="preserve">http://www.orbitallab.com.br/fluoreto-de-sodio-pa-acs-(-produto-controlado-pelo-ministerio-do-exercito)-1383</t>
  </si>
  <si>
    <t xml:space="preserve">ORBITAL PRODUTOS PARA LABORATORIOS LTDA</t>
  </si>
  <si>
    <t xml:space="preserve">não informado</t>
  </si>
  <si>
    <t xml:space="preserve">CATMAT -357876- FORMOL (FORMALDEÍDO), ASPECTO FÍSICO LÍQUIDO INCOLOR, LÍMPIDO, FÓRMULA QUÍMICA CH2O, PESO MOLECULAR: 30,03 G/MOL, GRAU DE PUREZA CONCENTRAÇÃO MÍNIMA DE 35%, CARACTERÍSTICA ADICIONAL REAGENTE P.A., NÚMERO DE REFERÊNCIA QUÍMICA CAS 50-00-0.</t>
  </si>
  <si>
    <t xml:space="preserve">357876</t>
  </si>
  <si>
    <t xml:space="preserve">https://sipac.sig.ufal.br/sipac/visualizaMaterial.do?popup=true&amp;id=3545&amp;acao=12</t>
  </si>
  <si>
    <t xml:space="preserve">FORMALDEÍDO P.A. (FORMOL)</t>
  </si>
  <si>
    <t xml:space="preserve">https://www.biomedh.com.br/007073/formaldeido-37-pa-1000ml.html</t>
  </si>
  <si>
    <t xml:space="preserve">https://noxsolutions.com.br/formaldeido-pa-acs-1000ml</t>
  </si>
  <si>
    <t xml:space="preserve">Nox Lab Solutions</t>
  </si>
  <si>
    <t xml:space="preserve">24.788.909/0001-14</t>
  </si>
  <si>
    <t xml:space="preserve">https://www.quimisulsc.com.br/index.php?route=product/product&amp;product_id=101</t>
  </si>
  <si>
    <t xml:space="preserve">Quimisul Sc Brasil LTDA</t>
  </si>
  <si>
    <t xml:space="preserve">CATMAT - 352747 - Fosfato de cálcio, aspecto físico: pó branco, fórmula química: cahpo4 (bibásico anidro), peso molecular: 136,06 g,mol, teor de pureza: pureza mínima de 98%, característica adicional: reagente P.A., número de referência química: cas 7757-93-9. Entregue em frasco com 500 g. Atenção: observar a unidade de medida do SIPAC e colocar múltiplo de 500 g.
</t>
  </si>
  <si>
    <t xml:space="preserve">352747</t>
  </si>
  <si>
    <t xml:space="preserve">https://sipac.sig.ufal.br/sipac/visualizaMaterial.do?popup=true&amp;id=25749&amp;acao=12</t>
  </si>
  <si>
    <t xml:space="preserve">FOSFATO DE CÁLCIO BB (BIBÁSICO) ANIDRO P.A.</t>
  </si>
  <si>
    <t xml:space="preserve">https://www.labimport.com.br/reagentes/fosfato-de-calcio/fosfato-de-calcio-bibasico-anidro-pa-500g</t>
  </si>
  <si>
    <t xml:space="preserve">https://www.lojasynth.com/reagentes-analiticosmaterias-primas/reagentes-analiticosmaterias-primas/fosfato-de-calcio-bibasico-anidro-p-a?variant_id=871</t>
  </si>
  <si>
    <t xml:space="preserve">https://www.didaticasp.com.br/fosfato-de-calcio-bibasico-anidro-pa-500g</t>
  </si>
  <si>
    <t xml:space="preserve">CATMAT -352749- Fosfato de potássio, aspecto físico pó branco cristalino, inodoro, fórmula química KH2PO4 (monobásico anidro), peso molecular 136,09 g/mol, pureza mínima de 99%, característica adicional reagente P.A., número de referência química: CAS 7778-77-0. Entregue em frasco com 500 g. Atenção: observar a unidade de medida do SIPAC e colocar múltiplo de 500 g.</t>
  </si>
  <si>
    <t xml:space="preserve">352749</t>
  </si>
  <si>
    <t xml:space="preserve">https://sipac.sig.ufal.br/sipac/visualizaMaterial.do?popup=true&amp;id=10942&amp;acao=12</t>
  </si>
  <si>
    <t xml:space="preserve">FOSFATO DE POTÁSSIO MONOBÁSICO ANIDRO P.A.</t>
  </si>
  <si>
    <t xml:space="preserve">https://www.lojasynth.com/reagentes-analiticosmaterias-primas/reagentes-analiticosmaterias-primas/fosfato-de-potassio-monobasico-anidro-p-a?variant_id=301069</t>
  </si>
  <si>
    <t xml:space="preserve">https://ludwigbiotec.com.br/loja/produto/fosfato-de-potassio-monobasico-anidro-p-a-250-g/936</t>
  </si>
  <si>
    <t xml:space="preserve">https://www.sabresafety.com.br/produto/fosfato-de-potassio-monobasico-anidro-pa-500gr/</t>
  </si>
  <si>
    <t xml:space="preserve">CATMAT -347723- Fosfato de sódio, aspecto físico: pó fino de cristais brancos, inodoro, higroscópico, fórmula química: Na2HPO4 (dibásico anidro), massa molecular: 141,96 g/mol, pureza mínima de 99%, característica adicional: reagente P.A., número de referência química: CAS 7558-79-4. Entregue em frasco com 500 g. Atenção: observar a unidade de medida do SIPAC e colocar múltiplo de 500 g.
</t>
  </si>
  <si>
    <t xml:space="preserve">347723</t>
  </si>
  <si>
    <t xml:space="preserve">https://sipac.sig.ufal.br/sipac/visualizaMaterial.do?popup=true&amp;id=625&amp;acao=12</t>
  </si>
  <si>
    <t xml:space="preserve">FOSFATO DE SÓDIO DIBÁSICO ANIDRO P.A.</t>
  </si>
  <si>
    <t xml:space="preserve">https://www.lojasynth.com/reagentes-analiticosmaterias-primas/reagentes-analiticosmaterias-primas/fosfato-de-sodio-bibasico-anidro-p-a-a-c-s?variant_id=300929</t>
  </si>
  <si>
    <t xml:space="preserve">https://www.didaticasp.com.br/fosfato-de-sodio-bibasico-anidro-pa-500g</t>
  </si>
  <si>
    <t xml:space="preserve">https://www.labimport.com.br/reagentes/fosfato-de-sodio/fosfato-de-sodio-dibasico-anidro-pa-1kg</t>
  </si>
  <si>
    <t xml:space="preserve">Exodo cientifica</t>
  </si>
  <si>
    <t xml:space="preserve">CATMAT - 410732 - Fosfato de sódio, aspecto físico: grânulos brancos cristalinos, fórmula química: NaH2PO4.H2O (monobásico, mono-hidratado), massa molecular: 137,99 g/mol, grau de pureza: pureza mínima de 98%, característica adicional: reagente P.A. ACS, número de referência química: CAS 10049-21-5. Entregue em frasco com 500 g. Atenção: observar a unidade de medida do SIPAC e colocar múltiplo de 500 g.</t>
  </si>
  <si>
    <t xml:space="preserve">410732</t>
  </si>
  <si>
    <t xml:space="preserve">https://sipac.sig.ufal.br/sipac/visualizaMaterial.do?popup=true&amp;id=3547&amp;acao=12</t>
  </si>
  <si>
    <t xml:space="preserve">FOSFATO DE SÓDIO MONOBÁSICO (H2O) P.A. ACS</t>
  </si>
  <si>
    <t xml:space="preserve">https://www.lojasynth.com/reagentes-analiticosmaterias-primas/reagentes-analiticosmaterias-primas/fosfato-de-sodio-monobasico-h2o-p-a-a-c-s?variant_id=1030</t>
  </si>
  <si>
    <t xml:space="preserve">02.208.188/0001-93</t>
  </si>
  <si>
    <t xml:space="preserve">https://www.acsreagentes.com.br/fosfato-de-sodio-monobasico-h2o-monohidratado-pa-acs-1kg-acs-cientifica</t>
  </si>
  <si>
    <t xml:space="preserve">ACS CONSULTORIA E SERVICOS LTDA</t>
  </si>
  <si>
    <t xml:space="preserve">CATMAT -347727- Fosfato de sódio, aspecto físico pó fino de cristais brancos, inodoro, higroscópico, fórmula química NaH2PO4 (monobásico anidro), massa molecular 119,98 g/mol, pureza mínima de 98%, característica adicional reagente P.A., número de referência química CAS 7558-80-7. Entregue em frasco com 500 g. Atenção: observar a unidade de medida do SIPAC e colocar múltiplo de 500 g.
</t>
  </si>
  <si>
    <t xml:space="preserve">347727</t>
  </si>
  <si>
    <t xml:space="preserve">https://sipac.sig.ufal.br/sipac/visualizaMaterial.do?popup=true&amp;id=25863&amp;acao=12</t>
  </si>
  <si>
    <t xml:space="preserve">FOSFATO DE SÓDIO MONOBÁSICO ANIDRO P.A.</t>
  </si>
  <si>
    <t xml:space="preserve">https://www.lojasynth.com/reagentes-analiticosmaterias-primas/reagentes-analiticosmaterias-primas/fosfato-de-sodio-monobasico-anidro-p-a?variant_id=1018</t>
  </si>
  <si>
    <t xml:space="preserve">https://ludwigbiotec.com.br/loja/produto/fosfato-de-sodio-monobasico-anidro-98-p-a-500-g/949</t>
  </si>
  <si>
    <t xml:space="preserve">https://labtrade.com.br/produto/fosfato-de-sodio-monobasico-anidro-pa/#.ZA9yNh_MJhE</t>
  </si>
  <si>
    <t xml:space="preserve">CATMAT - 352755 - Fosfato de sódio, aspecto físico: pó cristalino branco, fórmula química: Na3PO4.12H2O (trissódico dodeca-hidratado), massa molecular: 380,12 g/mol, pureza mínima de 98%, característica adicional: reagente P.A., número de referência química: CAS 10101-89-0.</t>
  </si>
  <si>
    <t xml:space="preserve">352755</t>
  </si>
  <si>
    <t xml:space="preserve">https://sipac.sig.ufal.br/sipac/visualizaMaterial.do?popup=true&amp;id=25750&amp;acao=12</t>
  </si>
  <si>
    <t xml:space="preserve">FOSFATO DE SÓDIO TRIBÁSICO (12H2O) P.A</t>
  </si>
  <si>
    <t xml:space="preserve">https://www.lojasynth.com/reagentes-analiticosmaterias-primas/reagentes-analiticosmaterias-primas/fosfato-de-sodio-tribasico-12h2o-p-a?variant_id=1056</t>
  </si>
  <si>
    <t xml:space="preserve">https://www.lojaprolab.com.br/fosfato-de-sodio-tribasico-12h2o-pa-acs-79082</t>
  </si>
  <si>
    <t xml:space="preserve">https://www.lojanetlab.com.br/reagentes/pa/fosfato-de-sodio-tribasico-12h2o-pa-acs</t>
  </si>
  <si>
    <t xml:space="preserve">CATMAT -353076- GLICERINA (GLICEROL), ASPECTO FÍSICO: LÍQUIDO VISCOSO, INCOLOR, HIGROSCÓPICO, FÓRMULA QUÍMICA: C3H8O3, PESO MOLECULAR: 92,10 G/MOL, PUREZA MÍNIMA DE 99,5%, CARACTERÍSTICA ADICIONAL: REAGENTE P.A., NÚMERO DE REFERÊNCIA QUÍMICA: CAS 56-81-5.</t>
  </si>
  <si>
    <t xml:space="preserve">353076</t>
  </si>
  <si>
    <t xml:space="preserve">https://sipac.sig.ufal.br/sipac/visualizaMaterial.do?popup=true&amp;id=23592&amp;acao=12</t>
  </si>
  <si>
    <t xml:space="preserve">GLICERINA P.A. -</t>
  </si>
  <si>
    <t xml:space="preserve">56.036.718/0001-92</t>
  </si>
  <si>
    <t xml:space="preserve">https://www.centerlab.com/glicerina-pa-1000ml-neon-cod-02698.html</t>
  </si>
  <si>
    <t xml:space="preserve">Centerlab Central de Laboratorios Ltda</t>
  </si>
  <si>
    <t xml:space="preserve">https://www.sabresafety.com.br/produto/glicerina-bi-destilada-pa-1000-ml/</t>
  </si>
  <si>
    <t xml:space="preserve">https://www.quimicenter.com.br/reagentes/glicerina-bidestilada-pa-frasco-plastico-1000ml-dinamica</t>
  </si>
  <si>
    <t xml:space="preserve">CATMAT -353077- Glicerol, aspecto físico líquido viscoso, incolor, higroscópico, fórmula química C3H8O3, peso molecular 92,09, teor de pureza pureza mínima de 99,5%, característica adicional reagente P.A. ACS, número de referência química CAS 56-81-5.</t>
  </si>
  <si>
    <t xml:space="preserve">353077</t>
  </si>
  <si>
    <t xml:space="preserve">https://sipac.sig.ufal.br/sipac/visualizaMaterial.do?popup=true&amp;id=29324&amp;acao=12</t>
  </si>
  <si>
    <t xml:space="preserve">GLICERINA P.A. ACS </t>
  </si>
  <si>
    <t xml:space="preserve">https://www.lojaprolab.com.br/glicerina-pa-acs-79096</t>
  </si>
  <si>
    <t xml:space="preserve">https://www.biomedh.com.br/007135/glicerina-pa-acs-1250g-1000ml.html</t>
  </si>
  <si>
    <t xml:space="preserve">https://www.noxsolutions.com.br/glicerina-pa-acs-1000ml</t>
  </si>
  <si>
    <t xml:space="preserve">CATMAT 412747 - GLICINA, ASPECTO FÍSICO CRISTAL BRANCO, INODORO, PESO MOLECULAR 75,07, FÓRMULA QUÍMICA C2H5NO2, GRAU DE PUREZA PUREZA MÍNIMA DE 98,5%, CARACTERÍSTICA ADICIONAL REAGENTE P.A., NÚMERO DE REFERÊNCIA QUÍMICA CAS 56-40-6. Entregue em frasco de 500 g. Atenção: observar a unidade de medida do SIPAC e colocar múltiplo de 500 g.</t>
  </si>
  <si>
    <t xml:space="preserve">412747</t>
  </si>
  <si>
    <t xml:space="preserve">https://sipac.sig.ufal.br/sipac/visualizaMaterial.do?popup=true&amp;id=18153&amp;acao=12</t>
  </si>
  <si>
    <t xml:space="preserve">GLICINA (ÁCIDO AMINOACÉTICO) P.A.</t>
  </si>
  <si>
    <t xml:space="preserve">https://www.glasslab.com.br/reagentes-e-meios/glicina-acido-amino-acetico-pa-100g</t>
  </si>
  <si>
    <t xml:space="preserve">39.377.395/0001-81</t>
  </si>
  <si>
    <t xml:space="preserve">https://www.ciruvix.com.br/acido-aminoacetico-pa-glicina-500gr-neon</t>
  </si>
  <si>
    <t xml:space="preserve">Ciruvix Comercio Ltda</t>
  </si>
  <si>
    <t xml:space="preserve">https://www.biomedh.com.br/008101/glicina-pa-acido-amino-acetico-100gr.html</t>
  </si>
  <si>
    <t xml:space="preserve">CATMAT -349837 - Dextrose, aspecto físico: cristal incolor ou pó branco cristalino, inodoro, fórmula química: C6H12O6, peso molecular: 198,18 g/mol, característica adicional: reagente P.A. ACS, número de referência química: CAS 50-99-7, entregue em frasco de 500 g. Atenção: observar a unidade de medida do SIPAC e colocar múltiplo de 500 g.</t>
  </si>
  <si>
    <t xml:space="preserve">349837</t>
  </si>
  <si>
    <t xml:space="preserve">https://sipac.sig.ufal.br/sipac/visualizaMaterial.do?popup=true&amp;id=23412&amp;acao=12</t>
  </si>
  <si>
    <t xml:space="preserve">GLICOSE ANIDRA (DEXTROSE) P.A. ACS</t>
  </si>
  <si>
    <t xml:space="preserve">https://www.lojanetlab.com.br/reagentes/pa/glicose-anidra-dextrose-pa-acs-500g-dinamica</t>
  </si>
  <si>
    <t xml:space="preserve">https://www.acsreagentes.com.br/glicose-anidra-dextrose-pa-acs-25kg-acs-cientifica</t>
  </si>
  <si>
    <t xml:space="preserve">https://www.lojasynth.com/reagentes-analiticosmaterias-primas/reagentes-analiticosmaterias-primas/glicose-d-anidra-p-a-a-c-s?variant_id=301323</t>
  </si>
  <si>
    <t xml:space="preserve">CATMAT -416199- HEXANO, ASPECTO FÍSICO: LÍQUIDO LÍMPIDO INCOLOR, PESO MOLECULAR: 86,18 G,MOL, COMPOSIÇÃO QUÍMICA: CH3(CH2)4CH3, TEOR DE PUREZA: PUREZA MÍNIMA DE 95%, CARACTERÍSTICA ADICIONAL: REAGENTE P, HPLC, NÚMERO DE REFERÊNCIA QUÍMICA: CAS 110-54-3</t>
  </si>
  <si>
    <t xml:space="preserve">416199</t>
  </si>
  <si>
    <t xml:space="preserve">https://sipac.sig.ufal.br/sipac/visualizaMaterial.do?popup=true&amp;id=23596&amp;acao=12</t>
  </si>
  <si>
    <t xml:space="preserve">HEXANO 95% HPLC</t>
  </si>
  <si>
    <t xml:space="preserve">https://www.glasslab.com.br/reagentes-e-meios/hexano-hplc-95-1l</t>
  </si>
  <si>
    <t xml:space="preserve">https://www.acsreagentes.com.br/hexano-95-uv-hplc-espectroscopico-mistura-de-isomeros-1l-acs-cientifica</t>
  </si>
  <si>
    <t xml:space="preserve">CATMAT - 354580 - Hexano, aspecto físico: líquido transparente, peso molecular: 86,18 g/mol, composição química: C6H14 (n-hexano), pureza mínima de 95%, característica adicional: reagente P.A. ACS, número de referência química: CAS 110-54-3</t>
  </si>
  <si>
    <t xml:space="preserve">https://sipac.sig.ufal.br/sipac/visualizaMaterial.do?popup=true&amp;id=23597&amp;acao=12</t>
  </si>
  <si>
    <t xml:space="preserve">HEXANO-N P.A. ACS</t>
  </si>
  <si>
    <t xml:space="preserve">00.398.022/0001-51</t>
  </si>
  <si>
    <t xml:space="preserve">https://www.pro-analise.com.br/n-hexano-PA-ACS_1043741000-Merck</t>
  </si>
  <si>
    <t xml:space="preserve">PRO ANALISE QUIMICA E DIAGNOSTICA LTDA.</t>
  </si>
  <si>
    <t xml:space="preserve">https://www.lojaprolab.com.br/hexano-n-99-pa-acs-79124</t>
  </si>
  <si>
    <t xml:space="preserve">https://www.glasslab.com.br/reagentes-e-meios/hexano-n-pa-acs-99-1l</t>
  </si>
  <si>
    <t xml:space="preserve">CATMAT -353673- Hidroquinona (benzeno-1,4-diol), aspecto físico: cristais ou pó branco, fórmula química: C6H4(OH)2, peso molecular: 110,11 g/mol, pureza mínima de 99%, reagente P.A., número de referência química: CAS 123-31-9, entregue em frasco de 500 g. Atenção: observar a unidade de medida do SIPAC e colocar múltiplo de 500 g.</t>
  </si>
  <si>
    <t xml:space="preserve">353673</t>
  </si>
  <si>
    <t xml:space="preserve">https://sipac.sig.ufal.br/sipac/visualizaMaterial.do?popup=true&amp;id=23598&amp;acao=12</t>
  </si>
  <si>
    <t xml:space="preserve">HIDROQUINONA P.A.</t>
  </si>
  <si>
    <t xml:space="preserve">https://www.orionprodutoscientificos.com.br/hidroquinona-pa-500g-exodo-cientifica?utm_source=Site&amp;utm_medium=GoogleMerchant&amp;utm_campaign=GoogleMerchant</t>
  </si>
  <si>
    <t xml:space="preserve">https://ludwigbiotec.com.br/loja/produto/hidroquinona-99-pa-250/981</t>
  </si>
  <si>
    <t xml:space="preserve">https://www.didaticasp.com.br/produto/hidroquinona-99-pa-500g-cas-123-31-9-ssp.html</t>
  </si>
  <si>
    <t xml:space="preserve">CATMAT -347756- HIDRÓXIDO DE AMÔNIO, ASPECTO FÍSICO: LÍQUIDO LÍMPIDO, INCOLOR, VOLÁTIL, DE ODOR ACRE, PESO MOLECULAR: 35,05 G/MOL, FÓRMULA QUÍMICA: NH4OH, TEOR DE NH3 ENTRE 28 E 30%, CARACTERÍSTICA ADICIONAL: EM SOLUÇÃO AQUOSA, REAGENTE P.A., NÚMERO DE REFERÊNCIA QUÍMICA: CAS 1336-21-6.</t>
  </si>
  <si>
    <t xml:space="preserve">347756</t>
  </si>
  <si>
    <t xml:space="preserve">https://sipac.sig.ufal.br/sipac/visualizaMaterial.do?popup=true&amp;id=23603&amp;acao=12</t>
  </si>
  <si>
    <t xml:space="preserve">HIDRÓXIDO DE AMÔNIO P.A. -</t>
  </si>
  <si>
    <t xml:space="preserve">SIVALDO</t>
  </si>
  <si>
    <t xml:space="preserve">https://www.glasslab.com.br/reagentes-e-meios/hidroxido-de-amonio-24-26-pa-1l?parceiro=6858&amp;srsltid=Ad5pg_HWnRU7SjI-WjlBXyCImRRT45Jrx8yJMXny0nsWzkPMhCwykc-h_R4</t>
  </si>
  <si>
    <t xml:space="preserve">https://www.didaticasp.com.br/hidroxido-de-amonio-24-a-26-pa-1l-pfssp</t>
  </si>
  <si>
    <t xml:space="preserve">CATMAT -376987- Hidróxido de bário, aspecto físico: pó branco, inodoro, peso molecular: 315,48 g/mol, fórmula química: Ba(OH)2.8H2O, pureza mínima de 96%, característica adicional: reagente P.A., número de referência química: CAS 12230-71-6. Entregue em frasco com 500 g. Atenção: observar a unidade de medida do SIPAC e colocar múltiplo de 500 g.</t>
  </si>
  <si>
    <t xml:space="preserve">	376987</t>
  </si>
  <si>
    <t xml:space="preserve">https://sipac.sig.ufal.br/sipac/visualizaMaterial.do?popup=true&amp;id=23607&amp;acao=12</t>
  </si>
  <si>
    <t xml:space="preserve">HIDRÓXIDO DE BÁRIO P.A. (8H2O)</t>
  </si>
  <si>
    <t xml:space="preserve">https://www.glasslab.com.br/reagentes-e-meios/hidroxido-de-bario-8h2o-pa-acs-500g?parceiro=6858&amp;srsltid=Ad5pg_GnoZQ7pOv7ywfBrQjrHnmMUVO78qBx-AwYPwj8eu1E3TwZHyONdXw</t>
  </si>
  <si>
    <t xml:space="preserve">https://www.acsreagentes.com.br/hidroxido-de-bario-8h2o-pa-acs-500g-acs-cientifica?utm_source=Site&amp;utm_medium=GoogleMerchant&amp;utm_campaign=GoogleMerchant</t>
  </si>
  <si>
    <t xml:space="preserve">https://www.lojaprolab.com.br/hidroxido-de-bario-8h2o-pa-acs-79133</t>
  </si>
  <si>
    <t xml:space="preserve">DIDATICA</t>
  </si>
  <si>
    <t xml:space="preserve">CATMAT -366501- Hidróxido de cálcio, aspecto físico: pó ou cristal fino branco, fórmula química: Ca(OH)2, peso molecular: 74,09 g/mol, pureza mínima de 95%, característica adicional: reagente P.A., número de referência química: CAS 1305-62-0. Entregue em frasco com 500 g. Atenção: observar a unidade de medida do SIPAC e colocar múltiplo de 500 g.</t>
  </si>
  <si>
    <t xml:space="preserve">366501</t>
  </si>
  <si>
    <t xml:space="preserve">https://sipac.sig.ufal.br/sipac/visualizaMaterial.do?popup=true&amp;id=23610&amp;acao=12</t>
  </si>
  <si>
    <t xml:space="preserve">HIDRÓXIDO DE CÁLCIO P.A.</t>
  </si>
  <si>
    <t xml:space="preserve">https://www.orionprodutoscientificos.com.br/hidroxido-de-calcio-p-a-500-g-fabricante-neon-N01538?utm_source=Site&amp;utm_medium=GoogleMerchant&amp;utm_campaign=GoogleMerchant</t>
  </si>
  <si>
    <t xml:space="preserve">https://www.glasslab.com.br/reagentes-e-meios/hidroxido-de-calcio-pa-500g?parceiro=6858&amp;srsltid=Ad5pg_HRe49TJKsFd2UilIqCOuqXTYEfpserTm16uH4QRIHFht1CB-SpNSM</t>
  </si>
  <si>
    <t xml:space="preserve">https://www.didaticasp.com.br/produto/hidroxido-de-calcio-pa-500g-cas-1305-62-0.html</t>
  </si>
  <si>
    <t xml:space="preserve">CATMAT - 347797 - Hidróxido de potássio, aspecto físico: escama ou lentilha branca, inodora, higroscópica, peso molecular: 56,11 g/mol, fórmula química: KOH, teor mínimo de 85%, característica adicional: reagente P.A., número de referência química: CAS 1310-58-3</t>
  </si>
  <si>
    <t xml:space="preserve">347797</t>
  </si>
  <si>
    <t xml:space="preserve">https://sipac.sig.ufal.br/sipac/visualizaMaterial.do?popup=true&amp;id=23614&amp;acao=12</t>
  </si>
  <si>
    <t xml:space="preserve">HIDRÓXIDO DE POTÁSSIO P.A.</t>
  </si>
  <si>
    <t xml:space="preserve">https://www.glasslab.com.br/reagentes-e-meios/hidroxido-de-potassio-escamas-pa-500g?parceiro=6858&amp;srsltid=Ad5pg_HdJdTx_a8Bf_o45aWNa3FsFmHkVm0YDqIr2O4QVNkFogwtM-kOaNs</t>
  </si>
  <si>
    <t xml:space="preserve">56.395.189/0001-13</t>
  </si>
  <si>
    <t xml:space="preserve">https://www.lojaquimica.com.br/hidroxido-de-potassio-p-a-1000g</t>
  </si>
  <si>
    <t xml:space="preserve">Auros Química Indústria e Comércio Ltda</t>
  </si>
  <si>
    <t xml:space="preserve">https://www.biomedh.com.br/008136/hidroxido-de-potassio-pa-acs-500gr.html</t>
  </si>
  <si>
    <t xml:space="preserve">CATMAT - 355207 - HIDRÓXIDO DE SÓDIO, ASPECTO FÍSICO EM MICROPÉROLAS ESBRANQUIÇADAS, PESO MOLECULAR 40 G/MOL, FÓRMULA QUÍMICA NAOH, PUREZA MÍNIMA DE 97%, CARACTERÍSTICA ADICIONAL REAGENTE P.A., NÚMERO DE REFERÊNCIA QUÍMICA CAS 1310-73-2, ENTREGUE EM FRASCO COM 1000 G. ATENÇÃO: OBSERVAR A UNIDADE DE MEDIDA DO SIPAC E COLOCAR MÚLTIPLO DE 1000 G.</t>
  </si>
  <si>
    <t xml:space="preserve">355207</t>
  </si>
  <si>
    <t xml:space="preserve">https://sipac.sig.ufal.br/sipac/visualizaMaterial.do?popup=true&amp;id=23617&amp;acao=12</t>
  </si>
  <si>
    <t xml:space="preserve">HIDROXIDO DE SODIO P.A. MICROPEROLAS</t>
  </si>
  <si>
    <t xml:space="preserve">https://www.biomedh.com.br/006999/hidroxido-de-sodio-microperolas-pa-acs-1000gr.html</t>
  </si>
  <si>
    <t xml:space="preserve">https://www.pro-analise.com.br/reagentes?product_id=7958</t>
  </si>
  <si>
    <t xml:space="preserve">Pro Analise Quimica e Diagnostica LTDA</t>
  </si>
  <si>
    <t xml:space="preserve">https://www.laderquimica.com.br/hidroxido-de-sodio-micro-perolas-pa-1kg-neon-</t>
  </si>
  <si>
    <t xml:space="preserve">CATMAT -378971- HIPOCLORITO DE SÓDIO, ASPECTP FÍSICO LÍQUIDO AMARELO ESVERDEADO, CONCENTRAÇÃO TEOR MÍNIMO DE 12% DE CLORO ATIVO. FRASCO DE 1L.</t>
  </si>
  <si>
    <t xml:space="preserve">378971</t>
  </si>
  <si>
    <t xml:space="preserve">https://sipac.sig.ufal.br/sipac/visualizaMaterial.do?popup=true&amp;id=30780&amp;acao=12</t>
  </si>
  <si>
    <t xml:space="preserve">HIPOCLORITO DE SÓDIO 12% -</t>
  </si>
  <si>
    <t xml:space="preserve">02.533.754/0001-32</t>
  </si>
  <si>
    <t xml:space="preserve">https://www.acquailha.com.br/produtos/hipoclorito-de-sodio-cordex-12/?variant=460836025&amp;pf=mc&amp;gclid=Cj0KCQjwtsCgBhDEARIsAE7RYh0G4fOxTWWshOALz-f4JQArqm5QhYlgE1ceiK0Dve-mQtC6KzKFS4MaAgrSEALw_wcB</t>
  </si>
  <si>
    <t xml:space="preserve">ACQUA ILHA PISCINA E JARDINAGEM LTDA</t>
  </si>
  <si>
    <t xml:space="preserve">Cordex</t>
  </si>
  <si>
    <t xml:space="preserve">28.252.083/0001-25</t>
  </si>
  <si>
    <t xml:space="preserve">https://www.colortec.com.br/copa-e-limpeza/produtos-de-limpeza/hipoclorito-de-sodio-5-lt-12-da-casa-c03?gclid=Cj0KCQjwtsCgBhDEARIsAE7RYh1a0HqZjJaDXyMc_sNadX76XaiwrRs1ud4mowuvMfkHpqKrn9lzF-4aArw2EALw_wcB</t>
  </si>
  <si>
    <t xml:space="preserve">Colortec Distribuição e Logistica LTDA</t>
  </si>
  <si>
    <t xml:space="preserve">QUIMIBEL</t>
  </si>
  <si>
    <t xml:space="preserve">30.854.714/0001-28</t>
  </si>
  <si>
    <t xml:space="preserve">https://www.alecrimessenciaria.com.br/cloro-hipoclorito-de-sodio-12?utm_source=Site&amp;utm_medium=GoogleMerchant&amp;utm_campaign=GoogleMerchant</t>
  </si>
  <si>
    <t xml:space="preserve">ALECRIM ESSENCIARIA - ME</t>
  </si>
  <si>
    <t xml:space="preserve">CATMAT -374023- Iodato de potássio, aspecto físico: pó cristalino branco e inodoro, peso molecular: 214 g/mol, fórmula química: KIO3 anidro, pureza mínima de 99%, característica adicional: reagente P.A., número de referência química: CAS 7758-05-6, entregue em frasco com 250 g. Atenção: observar a unidade de medida do SIPAC e colocar múltiplo de 250 g.</t>
  </si>
  <si>
    <t xml:space="preserve">374023</t>
  </si>
  <si>
    <t xml:space="preserve">https://sipac.sig.ufal.br/sipac/visualizaMaterial.do?popup=true&amp;id=23619&amp;acao=12</t>
  </si>
  <si>
    <t xml:space="preserve">IODATO DE POTÁSSIO P.A.</t>
  </si>
  <si>
    <t xml:space="preserve">https://ludwigbiotec.com.br/loja/produto/iodato-de-potassio-p-a-250-g/1002</t>
  </si>
  <si>
    <t xml:space="preserve">https://www.acsreagentes.com.br/iodato-de-potassio-pa-acs-100g-acs-cientifica?utm_source=Site&amp;utm_medium=GoogleMerchant&amp;utm_campaign=GoogleMerchant</t>
  </si>
  <si>
    <t xml:space="preserve">https://www.laderquimica.com.br/iodato-potassio-pa-neon-100g?utm_source=Site&amp;utm_medium=GoogleMerchant&amp;utm_campaign=GoogleMerchant&amp;srsltid=Ad5pg_HZQAKmrUxtCpexSfhUsMyMeblAAbb5-Yhd2rANaUEyFcuVgiydbJg</t>
  </si>
  <si>
    <t xml:space="preserve">CATMAT - 353071 - Iodeto de potássio, aspecto físico: pó branco, cristalino, inodoro, fórmula química: KI, peso molecular: 166,01 g/mol, pureza mínima de 99%, característica adicional: reagente P.A., número de referência química: CAS 7681-11-0. entregue em frasco de 100 g. Atenção: observar a unidade de medida do SIPAC e colocar múltiplo de 100 g.
</t>
  </si>
  <si>
    <t xml:space="preserve">353071</t>
  </si>
  <si>
    <t xml:space="preserve">https://sipac.sig.ufal.br/sipac/visualizaMaterial.do?popup=true&amp;id=23620&amp;acao=12</t>
  </si>
  <si>
    <t xml:space="preserve">IODETO DE POTÁSSIO P.A.</t>
  </si>
  <si>
    <t xml:space="preserve">https://www.glasslab.com.br/reagentes-e-meios/iodeto-de-potassio-pa-acs-100g?parceiro=6858&amp;gclid=Cj0KCQjwtsCgBhDEARIsAE7RYh0_GeQdckq-Frf-5o8oKP5EHCxJCQHJw7Z9iE55_an9Jhv7W0b_wsYaArvPEALw_wcB</t>
  </si>
  <si>
    <t xml:space="preserve">soulab</t>
  </si>
  <si>
    <t xml:space="preserve">https://www.lojasynth.com/reagentes-analiticosmaterias-primas/reagentes-analiticosmaterias-primas/iodeto-de-potassio-p-a</t>
  </si>
  <si>
    <t xml:space="preserve">https://www.biomedh.com.br/007008/iodeto-de-potassio-pa-acs-100gr.html</t>
  </si>
  <si>
    <t xml:space="preserve">CATMAT -353070- Iodeto de sódio, composição química: NaI, peso molecular: 149,89 g/mol, aspecto físico: pó cristalino, branco, inodoro, pureza mínima de 99,5%, característica adicional: reagente P.A., número de referência química: CAS 7681-82-5, entregue em frasco com 100 g. Atenção: observar a unidade de medida do SIPAC e colocar múltiplo de 100 g.</t>
  </si>
  <si>
    <t xml:space="preserve">353070</t>
  </si>
  <si>
    <t xml:space="preserve">https://sipac.sig.ufal.br/sipac/visualizaMaterial.do?popup=true&amp;id=23621&amp;acao=12</t>
  </si>
  <si>
    <t xml:space="preserve">IODETO DE SÓDIO P.A.</t>
  </si>
  <si>
    <t xml:space="preserve">https://www.acsreagentes.com.br/iodeto-de-sodio-pa-100g-acs-cientifica?utm_source=Site&amp;utm_medium=GoogleMerchant&amp;utm_campaign=GoogleMerchant&amp;gclid=Cj0KCQjwtsCgBhDEARIsAE7RYh15kZ5VmIm218FH5o8eofQqaYKP-V2jAllm-5iMIAD9yQez4NNZbKwaAvhDEALw_wcB</t>
  </si>
  <si>
    <t xml:space="preserve">https://www.glasslab.com.br/reagentes-e-meios/iodeto-de-sodio-pa-100g?parceiro=6858&amp;gclid=Cj0KCQjwtsCgBhDEARIsAE7RYh0FRacpqDoorNZHZXHS8EB09VowPEIra2vVK_7LuNFWXF9wwWf-0iwaAi2iEALw_wcB</t>
  </si>
  <si>
    <t xml:space="preserve">https://ludwigbiotec.com.br/loja/produto/iodeto-de-sodio-p-a-100-g/1013</t>
  </si>
  <si>
    <t xml:space="preserve">CATMAT 351911- Laurilsulfato de sódio, aspecto físico pó branco ou levemente amarelado, inodoro, fórmula química C12H25NaO4S, massa molecular 288,38 g/mol, pureza mínima de 90%, número de referência química: CAS 151-21-3, entregue em frasco com 500 g. Atenção: observar a unidade de medida do SIPAC e colocar múltiplo de 500 g.</t>
  </si>
  <si>
    <t xml:space="preserve">351911</t>
  </si>
  <si>
    <t xml:space="preserve">https://sipac.sig.ufal.br/sipac/visualizaMaterial.do?popup=true&amp;id=15355&amp;acao=12</t>
  </si>
  <si>
    <t xml:space="preserve">LAURIL SULFATO DE SÓDIO (DODECIL SULFATO DE SÓDIO)</t>
  </si>
  <si>
    <t xml:space="preserve">https://www.glasslab.com.br/reagentes-e-meios/lauril-dodecil-sulf-de-sodio-pa-500g?parceiro=6858&amp;gclid=Cj0KCQjwtsCgBhDEARIsAE7RYh1a9UeOQ2jmJs363em3vG23Wm5Hta1ozAcRy-Rs9PHp05Ipbs2V5PsaAi4nEALw_wcB</t>
  </si>
  <si>
    <t xml:space="preserve">Exodo Científica</t>
  </si>
  <si>
    <t xml:space="preserve">https://www.acsreagentes.com.br/lauril-sulfato-de-sodio-pa-dodecilsulfato-500g-acs-cientifica?utm_source=Site&amp;utm_medium=GoogleMerchant&amp;utm_campaign=GoogleMerchant&amp;gclid=Cj0KCQjwtsCgBhDEARIsAE7RYh2ZOmMHlQ6S13IxmSQhTJpgSiSeypZNI6RCJqTxO5muVtu4AKYjadQaArlxEALw_wcB</t>
  </si>
  <si>
    <t xml:space="preserve">Acs Cientifica</t>
  </si>
  <si>
    <t xml:space="preserve">https://www.didaticasp.com.br/produto/dodecil-sulfato-de-sodio-95-puro-500g-cas-151-21-3.html</t>
  </si>
  <si>
    <t xml:space="preserve">CATMAT -327212- Corante, tipo: lugol forte, aspecto físico: líquido, características adicionais: solução a 5% é composta de iodo a 5% m/v (50 g/L) e iodeto de potássio a 10% m/v (100 g/L). Frasco com 500 mL.</t>
  </si>
  <si>
    <t xml:space="preserve">327212</t>
  </si>
  <si>
    <t xml:space="preserve">https://sipac.sig.ufal.br/sipac/visualizaMaterial.do?popup=true&amp;id=23406&amp;acao=12</t>
  </si>
  <si>
    <t xml:space="preserve">LUGOL FORTE 5 % FRASCO COM 500 ML</t>
  </si>
  <si>
    <t xml:space="preserve">https://www.acsreagentes.com.br/iodo-iodeto-lugol-forte-solucao-5-aquoso-500ml-acs-cientifica?utm_source=Site&amp;utm_medium=GoogleMerchant&amp;utm_campaign=GoogleMerchant&amp;gclid=Cj0KCQjwtsCgBhDEARIsAE7RYh2bTQ4ENx97B9l1NajDYuGTPfn-mErpxdqhoAzXVcMQ-7GIUVls6QoaAsKjEALw_wcB</t>
  </si>
  <si>
    <t xml:space="preserve">https://www.orionprodutoscientificos.com.br/lugol-forte-em-solucao-1000-ml-fabricante-neon-N01532?utm_source=Site&amp;utm_medium=GoogleMerchant&amp;utm_campaign=GoogleMerchant</t>
  </si>
  <si>
    <t xml:space="preserve">00.291.784/0001-54 </t>
  </si>
  <si>
    <t xml:space="preserve">https://www.shoppingprohospital.com.br/saneantes/lugol-forte-5-1000ml-proc9?parceiro=8087&amp;srsltid=Ad5pg_HC1HxVhO3XyYuyiZmrM65GpGYqOMCO0oI7v4W1JjYOecwdPI3e3KM</t>
  </si>
  <si>
    <t xml:space="preserve">SHOPPING PROHOSPITAL MAT.MEDICO E HOSP.LTDA</t>
  </si>
  <si>
    <t xml:space="preserve">PROC9</t>
  </si>
  <si>
    <t xml:space="preserve">CATMAT - 374793 - Magnésio, aspecto físico: raspas prateadas, fórmula química: mg, peso molecular: 24,31 g,mol, grau de pureza: pureza mínima de 99,5%, número de referência química: CAS 7439-95-4, entregue em frasco com 25g. Atenção: observar a unidade de medida do SIPAC e colocar múltiplo de 25g.</t>
  </si>
  <si>
    <t xml:space="preserve">374793</t>
  </si>
  <si>
    <t xml:space="preserve">https://sipac.sig.ufal.br/sipac/visualizaMaterial.do?popup=true&amp;id=24912&amp;acao=12</t>
  </si>
  <si>
    <t xml:space="preserve">MAGNÉSIO METÁLICO</t>
  </si>
  <si>
    <t xml:space="preserve">https://www.orionprodutoscientificos.com.br/magnesio-metalico-em-raspas-aparas-250g-exodo-cientifica</t>
  </si>
  <si>
    <t xml:space="preserve">Exodo Cientifica</t>
  </si>
  <si>
    <t xml:space="preserve">https://www.labimport.com.br/reagentes/magnesio/magnesio-metalico-em-raspas-aparas-250g</t>
  </si>
  <si>
    <t xml:space="preserve">https://www.acsreagentes.com.br/magnesio-metalico-em-raspas-aparas-250g-acs-cientifica</t>
  </si>
  <si>
    <t xml:space="preserve">CATMAT -388554- Meio de cultura, tipo: conjunto completo, aditivos: com reativo de kovacs, outros componentes: meio epm, meio mili, ágar citrato de simmons</t>
  </si>
  <si>
    <t xml:space="preserve">388554</t>
  </si>
  <si>
    <t xml:space="preserve">https://sipac.sig.ufal.br/sipac/visualizaMaterial.do?popup=true&amp;id=28214&amp;acao=12</t>
  </si>
  <si>
    <t xml:space="preserve">MEIO MILI, ÁGAR CITRATO DE SIMMON 500G</t>
  </si>
  <si>
    <t xml:space="preserve">https://www.orionprodutoscientificos.com.br/agar-citrato-de-simmons-frasco-500g-himedia?utm_source=Site&amp;utm_medium=GoogleMerchant&amp;utm_campaign=GoogleMerchant</t>
  </si>
  <si>
    <t xml:space="preserve">https://www.glasslab.com.br/reagentes-e-meios/agar-citrato-simmons-frasco-500g-k25-1014-kasvi?parceiro=6858&amp;gclid=Cj0KCQjwtsCgBhDEARIsAE7RYh0QfQFDYSbn3tLGcXKXQl4vf_jvpDVlCpezlEpTff6S7SntJkLkHZ4aAvToEALw_wcB</t>
  </si>
  <si>
    <t xml:space="preserve">https://www.lkpdiagnosticos.com.br/meios-de-cultura/7156-agar-citrato-simmons-simmons-citrate-agar-500g?parceiro=3898</t>
  </si>
  <si>
    <t xml:space="preserve">ACUMEDIA - NEOGEN</t>
  </si>
  <si>
    <t xml:space="preserve">CATMAT -415314- Silicato de sódio, aspecto físico: grânulos brancos, composição química: Na2SiO3.9H2O, peso molecular: 284,20 g/mol, pureza mínima de 98%, número de referência química: CAS 13517-24-3. Atenção: observar a unidade de medida do SIPAC e colocar múltiplo de 100 g.</t>
  </si>
  <si>
    <t xml:space="preserve">358604</t>
  </si>
  <si>
    <t xml:space="preserve">https://sipac.sig.ufal.br/sipac/visualizaMaterial.do?popup=true&amp;id=30418&amp;acao=12</t>
  </si>
  <si>
    <t xml:space="preserve">METASSILICATO DE SÓDIO (9H2O)</t>
  </si>
  <si>
    <t xml:space="preserve">https://www.orionprodutoscientificos.com.br/metassilicato-de-sodio-nonahidratado-98-p-a-250-g-fabricante-neon-N03398</t>
  </si>
  <si>
    <t xml:space="preserve">Silicato De Sodio Puro 500G Acs Cientifica - ACS REAGENTES</t>
  </si>
  <si>
    <t xml:space="preserve">CATMAT -403993- Molibdato de amônio, aspecto físico pó cristalino branco a levemente amarelado, peso molecular 1235,86, fórmula química (NH4)6Mo7O24·4H2O (heptamolibdato, tetrahidratado), grau de pureza teor de MoO3 81,0 a 83,0%, pureza mínima de 99,0%, característica adicional reagente P.A. ACS, número de referência química: CAS 12054-85-2, entregue em frasco com 100 g. Atenção: observar a unidade de medida do SIPAC e colocar múltiplo de 100 g.</t>
  </si>
  <si>
    <t xml:space="preserve">403993</t>
  </si>
  <si>
    <t xml:space="preserve">https://sipac.sig.ufal.br/sipac/visualizaMaterial.do?popup=true&amp;id=23628&amp;acao=12</t>
  </si>
  <si>
    <t xml:space="preserve">MOLIBDATO DE AMÔNIO (4H2O) P.A. ACS</t>
  </si>
  <si>
    <t xml:space="preserve">https://www.lojasynth.com/reagentes-analiticosmaterias-primas/reagentes-analiticosmaterias-primas/molibdato-de-amonio-4h2o-p-a-a-c-s?parceiro=2827&amp;variant_id=302683&amp;gclid=Cj0KCQjwtsCgBhDEARIsAE7RYh222wbhEXgcHVJ_9sXLvZLJNmDBaiE8bO-Yycim3FEPGUeqB4lptSYaAoj2EALw_wcB</t>
  </si>
  <si>
    <t xml:space="preserve">https://www.glasslab.com.br/reagentes-e-meios/molibdato-de-amonio-4h2o-pa-acs-100g?parceiro=6858&amp;gclid=Cj0KCQjwtsCgBhDEARIsAE7RYh2MbSRvNlvF6NE36cIIM3UHrVsvzSXpXw9B_4rZHpuBN_HjV0w85usaAo5QEALw_wcB</t>
  </si>
  <si>
    <t xml:space="preserve">https://www.orionprodutoscientificos.com.br/molibdato-de-amonio-4h2o-pa-acs-100g-exodo-cientifica?utm_source=Site&amp;utm_medium=GoogleMerchant&amp;utm_campaign=GoogleMerchant</t>
  </si>
  <si>
    <t xml:space="preserve">CATMAT -375801- Molibdato de sódio, aspecto físico:pó branco cristalino, peso molecular: 241,95 g/mol, fórmula química: Na2MoO4·2H2O (dihidratado), pureza mínima de 99%, caracteristica adicional: reagente P.A., número de referência química:CAS 10102-40-6. Atenção: observar a unidade de medida do SIPAC e colocar múltiplo de 100 g.</t>
  </si>
  <si>
    <t xml:space="preserve">375801</t>
  </si>
  <si>
    <t xml:space="preserve">https://sipac.sig.ufal.br/sipac/visualizaMaterial.do?popup=true&amp;id=30420&amp;acao=12</t>
  </si>
  <si>
    <t xml:space="preserve">MOLIBDATO DE SÓDIO (2H2O) P.A.</t>
  </si>
  <si>
    <t xml:space="preserve">https://www.lojasynth.com/reagentes-analiticosmaterias-primas/reagentes-analiticosmaterias-primas/molibdato-de-sodio-2h2o-p-a-a-c-s?variant_id=301377&amp;parceiro=2827</t>
  </si>
  <si>
    <t xml:space="preserve">https://www.glasslab.com.br/reagentes-e-meios/molibdato-de-sodio-2h2o-pa-acs-100g?parceiro=6858&amp;srsltid=Ad5pg_HUzdt-fUjIVxJfo5wBc4B-uF5f5bSYnmn7smjWnLCuuMzqIxC_R-8</t>
  </si>
  <si>
    <t xml:space="preserve">https://www.acsreagentes.com.br/molibdato-de-sodio-2h2o-pa-acs-100g-acs-cientifica</t>
  </si>
  <si>
    <t xml:space="preserve">CATMAT -347885- Naftaleno, aspecto físico: partículas sólidas brancas, peso molecular: 128,17 g/mol, fórmula química: C10H8, para síntese (PS), pureza mínima 98,5% característica adicional: número de referência química: CAS 91-20-3, entregue em frasco com 500 g. Atenção: observar a unidade de medida do SIPAC e colocar múltiplo de 500 g.</t>
  </si>
  <si>
    <t xml:space="preserve">347885</t>
  </si>
  <si>
    <t xml:space="preserve">https://sipac.sig.ufal.br/sipac/visualizaMaterial.do?popup=true&amp;id=23470&amp;acao=12</t>
  </si>
  <si>
    <t xml:space="preserve">NAFTALENO PARA SÍNTESE</t>
  </si>
  <si>
    <t xml:space="preserve">https://www.orionprodutoscientificos.com.br/naftaleno-p-s-500-g-fabricante-neon?utm_source=Site&amp;utm_medium=GoogleMerchant&amp;utm_campaign=GoogleMerchant</t>
  </si>
  <si>
    <t xml:space="preserve">https://www.didaticasp.com.br/naftaleno-ps-500g</t>
  </si>
  <si>
    <t xml:space="preserve">https://www.labimport.com.br/reagentes/naftalina/naftalina-naftaleno-ps-500g-12111</t>
  </si>
  <si>
    <t xml:space="preserve">CATMAT -14290- Naftilamina, fórmula química: C10H9N -(alfa-naftilamina ou 1-naftilamina), aspecto físico: cristal incolor, odor de amônia, peso molecular: 143,19 g/mol, pureza mínima de 99%, reagente P.A., número de referência química: CAS 134-32-7, fornecimento em frasco de 100 g. Atenção: observar a unidade de medida do SIPAC e colocar múltiplo de 100 g.</t>
  </si>
  <si>
    <t xml:space="preserve">14290</t>
  </si>
  <si>
    <t xml:space="preserve">https://sipac.sig.ufal.br/sipac/visualizaMaterial.do?popup=true&amp;id=24767&amp;acao=12</t>
  </si>
  <si>
    <t xml:space="preserve">NAFTILAMINA 1 (ALFA) P.A.</t>
  </si>
  <si>
    <t xml:space="preserve">https://www.orionprodutoscientificos.com.br/1-naftilamina-p-a-100-g-fabricante-neon?utm_source=Site&amp;utm_medium=GoogleMerchant&amp;utm_campaign=GoogleMerchant</t>
  </si>
  <si>
    <t xml:space="preserve">https://www.acsreagentes.com.br/naftilamina-alfa-extra-puro-100g-acs-cientifica?utm_source=Site&amp;utm_medium=GoogleMerchant&amp;utm_campaign=GoogleMerchant</t>
  </si>
  <si>
    <t xml:space="preserve">https://ludwigbiotec.com.br/loja/produto/1-naftilamina-p-a-100-g/463</t>
  </si>
  <si>
    <t xml:space="preserve">CATMAT -374389- NITRATO DE ALUMÍNIO - ASPECTO FÍSICO: CRISTAIS BRANCOS PESO MOLECULAR: 375,13 G/MOL FÓRMULA QUÍMICA: AL(NO3)3·9H2O (NONAHIDRATADO) GRAU DE PUREZA: PUREZA MÍNIMA DE 98,5% CARACTERÍSTICA ADICIONAL: REAGENTE P.A ACS NÚMERO DE REFERÊNCIA QUÍMICA: CAS 7784-27-2. Fornecimento em frasco de 500 g. Atenção: observar a unidade de medida do SIPAC e colocar múltiplo de 500 g.</t>
  </si>
  <si>
    <t xml:space="preserve">374389</t>
  </si>
  <si>
    <t xml:space="preserve">https://sipac.sig.ufal.br/sipac/visualizaMaterial.do?popup=true&amp;id=30781&amp;acao=12</t>
  </si>
  <si>
    <t xml:space="preserve">NITRATO DE ALUMÍNIO (9H2O) PA ACS</t>
  </si>
  <si>
    <t xml:space="preserve">https://www.glasslab.com.br/reagentes-e-meios/nitrato-de-aluminio-9h2o-pa-acs-500g?parceiro=6858&amp;srsltid=Ad5pg_FdueO6-CdcAojUYA_hKU1kFgnCytZgBArp6yTq5EPaXLzv85IgzIM</t>
  </si>
  <si>
    <t xml:space="preserve">https://www.orionprodutoscientificos.com.br/nitrato-de-aluminio-nonahidratado-p-a-1000-g-fabricante-neon?utm_source=Site&amp;utm_medium=GoogleMerchant&amp;utm_campaign=GoogleMerchant</t>
  </si>
  <si>
    <t xml:space="preserve">https://www.lojaprolab.com.br/nitrato-de-aluminio-9h2o-pa-acs-79385</t>
  </si>
  <si>
    <t xml:space="preserve">CATMAT -358297- nitrato de amônio, peso molecular 80,04 g/mol, aspecto físico pó fino, cristalino. esbranquiçado, fórmula química NH4NO3, grau de pureza pureza mínima de 95%, característica adicional reagente P.A., número de referência química CAS 6484-52-2. Entregue em frasco com 500 g. Atenção: observar a unidade de medida do SIPAC e colocar múltiplo de 500 g.</t>
  </si>
  <si>
    <t xml:space="preserve">358297</t>
  </si>
  <si>
    <t xml:space="preserve">https://sipac.sig.ufal.br/sipac/visualizaMaterial.do?popup=true&amp;id=205&amp;acao=12</t>
  </si>
  <si>
    <t xml:space="preserve">NITRATO DE AMÔNIO P.A.</t>
  </si>
  <si>
    <t xml:space="preserve">CATMAT 359009 - NITRATO DE CÁLCIO. ASPECTO FÍSICO: CRISTAL BRANCO, INODORO, HIGROSCÓPICO. FÓRMULA QUÍMICA: CA(NO3)2.4H2O (TETRAHIDRATADO). MASSA MOLECULAR: 236,15 G/MOL. GRAU DE PUREZA: PUREZA MÍNIMA DE 99%. CARACTERÍSTICA ADICIONAL: REAGENTE P.A. NÚMERO DE REFERÊNCIA QUÍMICA: CAS 13477-34-4. Entregue em frasco com 500 g. Atenção: observar a unidade de medida do SIPAC e colocar múltiplo de 500 g.</t>
  </si>
  <si>
    <t xml:space="preserve">359009</t>
  </si>
  <si>
    <t xml:space="preserve">https://sipac.sig.ufal.br/sipac/visualizaMaterial.do?popup=true&amp;id=30782&amp;acao=12</t>
  </si>
  <si>
    <t xml:space="preserve">NITRATO DE CÁLCIO (4H2O) P.A.</t>
  </si>
  <si>
    <t xml:space="preserve">https://www.orionprodutoscientificos.com.br/nitrato-de-calcio-4h2o-pa-acs-500g-exodo-cientifica?utm_source=Site&amp;utm_medium=GoogleMerchant&amp;utm_campaign=GoogleMerchant</t>
  </si>
  <si>
    <t xml:space="preserve">https://www.glasslab.com.br/reagentes-e-meios/nitrato-de-calcio-4h2o-pa-acs-500g?parceiro=6858&amp;srsltid=Ad5pg_EzvMTysP1xvAtvjLDirs419MTCyS4hHIaL6t8LhK31MkXVmF2av7E</t>
  </si>
  <si>
    <t xml:space="preserve">https://www.lojaprolab.com.br/nitrato-de-calcio-4h2o-pa-79389</t>
  </si>
  <si>
    <t xml:space="preserve">CATMAT -358984- NITRATO DE FERRO, ASPECTO FÍSICO CRISTAIS INCOLORES A VIOLETA PÁLIDO, HIGROSCÓPICOS, PESO MOLECULAR 404,00, COMPOSIÇÃO QUÍMICA FE(NO3)3.9H2O (FERRO III NONAHIDRATADO), GRAU DE PUREZA PUREZA MÍNIMA DE 98%, CARACTERÍSTICA ADICIONAL REAGENTE P.A., NÚMERO DE REFERÊNCIA QUÍMICA CAS 7782-61-8, ENTREGUE EM FRASCO COM 250 G. (UNIDADE G)</t>
  </si>
  <si>
    <t xml:space="preserve">358984</t>
  </si>
  <si>
    <t xml:space="preserve">https://sipac.sig.ufal.br/sipac/visualizaMaterial.do?popup=true&amp;id=4169&amp;acao=12</t>
  </si>
  <si>
    <t xml:space="preserve">NITRATO DE FERRO III ICO (9H2O) P.A.</t>
  </si>
  <si>
    <t xml:space="preserve">https://www.acsreagentes.com.br/nitrato-de-ferro-iii-ico-9h2o-pa-acs-100g-acs-cientifica?utm_source=Site&amp;utm_medium=GoogleMerchant&amp;utm_campaign=GoogleMerchant</t>
  </si>
  <si>
    <t xml:space="preserve">https://www.orionprodutoscientificos.com.br/nitrato-de-ferro-iii-ico-9h2o-pa-acs-500g-exodo-cientifica?utm_source=Site&amp;utm_medium=GoogleMerchant&amp;utm_campaign=GoogleMerchant</t>
  </si>
  <si>
    <t xml:space="preserve">https://www.glasslab.com.br/reagentes-e-meios/nitrato-de-ferro-iii-ico-9h2o-pa-acs-500g?parceiro=6858&amp;srsltid=Ad5pg_GKsniZI2hwNoiC5mzOYZ-lB_DRrdEvamsJpgMYo75jY_ajGVElsNU</t>
  </si>
  <si>
    <t xml:space="preserve">CATMAT -358986- Nitrato de magnésio, aspecto físico cristal branco, inodoro, higroscópico, fórmula química Mg(NO3)2.6H2O (hexa-hidratado), peso molecular 256,41 g/mol, pureza mínima de 98%, característica adicional reagente P.A., número de referência química CAS 13446-18-9, entregue em frasco com 500 g. Atenção: observar a unidade de medida do SIPAC e colocar múltiplo de 500 g.
</t>
  </si>
  <si>
    <t xml:space="preserve">358986</t>
  </si>
  <si>
    <t xml:space="preserve">https://sipac.sig.ufal.br/sipac/visualizaMaterial.do?popup=true&amp;id=23490&amp;acao=12</t>
  </si>
  <si>
    <t xml:space="preserve">NITRATO DE MAGNÉSIO (6H2O) P.A.</t>
  </si>
  <si>
    <t xml:space="preserve">https://www.lojaprolab.com.br/nitrato-de-magnesio-6h2o-pa-acs-79398</t>
  </si>
  <si>
    <t xml:space="preserve">https://www.glasslab.com.br/reagentes-e-meios/nitrato-de-magnesio-6h2o-pa-acs-500g?parceiro=6858&amp;gclid=Cj0KCQjwtsCgBhDEARIsAE7RYh3S3CCs_47eXkIVx-ySQOXb6sMEzBpzFj9gwUAkumU_3-W7h7KTe90aAqKFEALw_wcB</t>
  </si>
  <si>
    <t xml:space="preserve">https://www.orionprodutoscientificos.com.br/nitrato-de-magnesio-6h2o-pa-acs-500g-exodo-cientifica?utm_source=Site&amp;utm_medium=GoogleMerchant&amp;utm_campaign=GoogleMerchant</t>
  </si>
  <si>
    <t xml:space="preserve">CATMAT -357897- Nitrato de potássio, aspecto físico: cristal branco, inodoro, peso molecular: 101,11 g/mol, fórmula química: KNO3, pureza mínima de 99,8%, número de referência química: CAS 7757-79-1, característica adicional reagente P.A., entregue em frasco com 500 g. Atenção: observar a unidade de medida do SIPAC e colocar múltiplo de 500 g.</t>
  </si>
  <si>
    <t xml:space="preserve">357897</t>
  </si>
  <si>
    <t xml:space="preserve">https://sipac.sig.ufal.br/sipac/visualizaMaterial.do?popup=true&amp;id=23494&amp;acao=12</t>
  </si>
  <si>
    <t xml:space="preserve">NITRATO DE POTÁSSIO P.A.</t>
  </si>
  <si>
    <t xml:space="preserve">https://www.glasslab.com.br/reagentes-e-meios/nitrato-de-potassio-pa-500g</t>
  </si>
  <si>
    <t xml:space="preserve">CATMAT -412728- Nitrato de prata, aspecto físico cristal incolor, transparente, inodoro, fórmula química AgNO3, peso molecular 169,87 g/mol, pureza mínima de 99,5%, característica adicional reagente P.A. ACS, número de referência química CAS 7761-88-8, entregue em frasco com 25 g. Atenção: observar a unidade de medida do SIPAC e colocar múltiplo de 25 g.</t>
  </si>
  <si>
    <t xml:space="preserve">412728</t>
  </si>
  <si>
    <t xml:space="preserve">https://sipac.sig.ufal.br/sipac/visualizaMaterial.do?popup=true&amp;id=23501&amp;acao=12</t>
  </si>
  <si>
    <t xml:space="preserve">NITRATO DE PRATA P.A. ACS</t>
  </si>
  <si>
    <t xml:space="preserve">https://www.biomedh.com.br/004687/nitrato-de-prata-pa--50gr.html</t>
  </si>
  <si>
    <t xml:space="preserve">PLATLAB</t>
  </si>
  <si>
    <t xml:space="preserve">https://www.acsreagentes.com.br/nitrato-de-prata-pa-acs-25g-acs-cientifica?gclid=Cj0KCQjwtsCgBhDEARIsAE7RYh3-BG2JFE6PN8RBOvbk0kacc2TBJgBjtsCUgKQtlf4aLOJRg4HjOaEaAkP4EALw_wcB</t>
  </si>
  <si>
    <t xml:space="preserve">https://www.labimport.com.br/reagentes/nitrato/nitrato-de-prata-pa-acs-25g</t>
  </si>
  <si>
    <t xml:space="preserve">CATMAT -358988- Nitrato de sódio, aspecto físico: cristal branco, inodoro, higroscópico, fórmula química: NANO3, peso molecular: 84,99 g/mol, pureza mínima de 99%, característica adicional: reagente P.A., número de referência química: CAS 7631-99-4, entregue em frasco com 500 g. Atenção: observar a unidade de medida do SIPAC e colocar múltiplo de 500 g.</t>
  </si>
  <si>
    <t xml:space="preserve">358988</t>
  </si>
  <si>
    <t xml:space="preserve">https://sipac.sig.ufal.br/sipac/visualizaMaterial.do?popup=true&amp;id=23505&amp;acao=12</t>
  </si>
  <si>
    <t xml:space="preserve">NITRATO DE SÓDIO P.A.</t>
  </si>
  <si>
    <t xml:space="preserve">https://www.acsreagentes.com.br/nitrato-de-sodio-pa-500g-acs-cientifica?utm_source=Site&amp;utm_medium=GoogleMerchant&amp;utm_campaign=GoogleMerchant&amp;gclid=Cj0KCQjwtsCgBhDEARIsAE7RYh2ua9fcoEEtwFv_aQdMuFr9KP__NHvDpZVTRgS7hIwWs3Ak77oa0C8aAq-GEALw_wcB</t>
  </si>
  <si>
    <t xml:space="preserve">https://www.glasslab.com.br/reagentes-e-meios/nitrato-de-sodio-pa-500g?parceiro=6858&amp;gclid=Cj0KCQjwtsCgBhDEARIsAE7RYh1X65PwVEUs3Vxk0lsnsinZLJdVwCrs9hDuC0aNH5KWKR9n1dWt_0EaAjsTEALw_wcB</t>
  </si>
  <si>
    <t xml:space="preserve">https://www.lojaprolab.com.br/nitrato-de-sodio-pa-acs-79401</t>
  </si>
  <si>
    <t xml:space="preserve">CATMAT -420021- Nitrato de zinco, aspecto físico: cristal incolor a esbranquiçado, leve odor nítrico, fórmula química: Zn(NO3)2.6H2O (hexa-hidratado), peso molecular: 297,49 g/mol, pureza mínima de 99%, característica adicional: reagente P.A., número de referência química: CAS 10196-18-6, entregue em frasco com 500 g, Atenção: observar a unidade de medida do SIPAC e colocar múltiplo de 500 g.</t>
  </si>
  <si>
    <t xml:space="preserve">420021</t>
  </si>
  <si>
    <t xml:space="preserve">https://sipac.sig.ufal.br/sipac/visualizaMaterial.do?popup=true&amp;id=23508&amp;acao=12</t>
  </si>
  <si>
    <t xml:space="preserve">NITRATO DE ZINCO P.A. (6H2O)</t>
  </si>
  <si>
    <t xml:space="preserve">https://www.acsreagentes.com.br/nitrato-de-zinco-pa-500g-acs-cientifica?gclid=Cj0KCQjwtsCgBhDEARIsAE7RYh3C8kpquETM_5AmKuLW-mWf4jnnhqRaEFl0Dsa89VXWxucujUFbWhAaAgxfEALw_wcB</t>
  </si>
  <si>
    <t xml:space="preserve">https://www.glasslab.com.br/reagentes-e-meios/nitrato-de-zinco-6h2o-pa-500g?parceiro=6858&amp;gclid=Cj0KCQjwtsCgBhDEARIsAE7RYh2zv2wVJzJ-NQ4ECAVOKiY2o6zUY4-750dNb5ggYRChT4rudIvZInMaAm8-EALw_wcB</t>
  </si>
  <si>
    <t xml:space="preserve">https://www.didaticasp.com.br/nitrato-de-zinco-6h2o-pa-500g</t>
  </si>
  <si>
    <t xml:space="preserve">CATMAT -461654- Óleo lubrificante bomba de vácuo ISO VG 46</t>
  </si>
  <si>
    <t xml:space="preserve">461654</t>
  </si>
  <si>
    <t xml:space="preserve">https://sipac.sig.ufal.br/sipac/visualizaMaterial.do?popup=true&amp;id=28155&amp;acao=12</t>
  </si>
  <si>
    <t xml:space="preserve">ÓLEO BOMBA DE VÁCUO ISO VG 46</t>
  </si>
  <si>
    <t xml:space="preserve">ÓLEO PARA BOMBA DE VÁCUO ISO VG 46</t>
  </si>
  <si>
    <t xml:space="preserve">17.281.973/0013-82</t>
  </si>
  <si>
    <t xml:space="preserve">https://www.cofermeta.com.br/lubrificacao/lubrificantes/oleo-lubrificante-iso-vg46-500ml-para-bomba-vacuo-suryha?parceiro=9290&amp;parceiro=1319&amp;gclid=Cj0KCQjw2v-gBhC1ARIsAOQdKY0G4Zd3crJoXowlWvcq8AKlDNaSfL_kiADFUvNJ99_GM-HRR7AnYicaApsEEALw_wcB</t>
  </si>
  <si>
    <t xml:space="preserve">Suryha</t>
  </si>
  <si>
    <t xml:space="preserve">10.834.465/0001-00</t>
  </si>
  <si>
    <t xml:space="preserve">https://www.refrigeracaocatavento.com.br/oleo-bomba-de-vacuo-iso-vg-46-montreal?parceiro=6374</t>
  </si>
  <si>
    <t xml:space="preserve">Montreal</t>
  </si>
  <si>
    <t xml:space="preserve">10.798.851/0001-85</t>
  </si>
  <si>
    <t xml:space="preserve">https://sardanharefrigeracao.com.br/produto/oleo-montreal-para-bomba-de-vacuo-champ-rf-iso-vg-46/?utm_source=Google%20Shopping&amp;utm_campaign=AdsGoogle-Sardanha&amp;utm_medium=cpc&amp;utm_term=1025&amp;gclid=Cj0KCQjwtsCgBhDEARIsAE7RYh2GzSR17V5dR685RidDCTgbzxJKu_6HokVjQxE7szPbK0N66i5Xi-MaAiYuEALw_wcB</t>
  </si>
  <si>
    <t xml:space="preserve">Sardanha Comercio de Pecas e Acessorios Eletroeletronicos LTDA</t>
  </si>
  <si>
    <t xml:space="preserve">champ</t>
  </si>
  <si>
    <t xml:space="preserve">CATMAT -334384- Óleo de imersão, uso para microscopia, aspecto físico líquido límpido, transparente, frasco 100 mL.</t>
  </si>
  <si>
    <t xml:space="preserve">334384</t>
  </si>
  <si>
    <t xml:space="preserve">https://sipac.sig.ufal.br/sipac/visualizaMaterial.do?popup=true&amp;id=23706&amp;acao=12</t>
  </si>
  <si>
    <t xml:space="preserve">ÓLEO DE IMERSÃO PARA MICROSCOPIA FRASCO 100 ML</t>
  </si>
  <si>
    <t xml:space="preserve">https://www.mmcomercio.net.br/produto/oleo-pimersao-pmicroscopia-100ml-laborclin.html?utm_source=Site&amp;utm_medium=GoogleMerchant&amp;utm_campaign=GoogleMerchant&amp;gclid=Cj0KCQjwtsCgBhDEARIsAE7RYh2B2IaRZ9ZHdlSmVlGcWTv2F4cBFnyWnQ-UW8ls4KurC8GdOjCgWQAaAnjNEALw_wcB</t>
  </si>
  <si>
    <t xml:space="preserve">51.520.377/0001-02</t>
  </si>
  <si>
    <t xml:space="preserve">https://www.lojaprlabor.com.br/produtos/oleo-de-imersao-100ml/?pf=gs&amp;variant=344389914</t>
  </si>
  <si>
    <t xml:space="preserve">PROLABOR SAUDE OCUPACIONAL LTDA</t>
  </si>
  <si>
    <t xml:space="preserve">https://www.vitchlab.com.br/acessorios/produtos-novos/oleo-de-imersao-100ml-p-10-0777-003-00-72-vitchlab?parceiro=7632&amp;srsltid=Ad5pg_EkTZ2aGVnJBPtZ4AGbPfcWzLLYMo_7xWxSMcR22uM4mWWhL2JLAew</t>
  </si>
  <si>
    <t xml:space="preserve">CATMAT -473723- Óleo lubrificante bomba de vácuo ISO VG 32</t>
  </si>
  <si>
    <t xml:space="preserve">473723</t>
  </si>
  <si>
    <t xml:space="preserve">https://sipac.sig.ufal.br/sipac/visualizaMaterial.do?popup=true&amp;id=28154&amp;acao=12</t>
  </si>
  <si>
    <t xml:space="preserve">ÓLEO PARA BOMBA DE VÁCUO ISO VG 32</t>
  </si>
  <si>
    <t xml:space="preserve">14.146.897/0001-70 </t>
  </si>
  <si>
    <t xml:space="preserve">https://www.multifrioshop.com/refrigeracao-comercial/oleos/oleo-mineral-para-bomba-de-vacuo-iso-vg-46-montreal-1-litro?parceiro=2316&amp;gclid=Cj0KCQjw2v-gBhC1ARIsAOQdKY2UYOZuetSDeiF5nswMSVMAYCeaqHXv0kkJN4Ow20TOsY5Gh1xH4MwaAlBsEALw_wcB</t>
  </si>
  <si>
    <t xml:space="preserve">03.058.421/0001-61 </t>
  </si>
  <si>
    <t xml:space="preserve">https://www.difusor.com.br/oleo-para-bomba-de-vacuo?utm_source=Site&amp;utm_medium=GoogleMerchant&amp;utm_campaign=GoogleMerchant&amp;gclid=Cj0KCQjwtsCgBhDEARIsAE7RYh1q7As2w78dO7mmWRUPAqtSJ_WeVcgB_lD5eVO035-8a3Y-S66gbsUaArtmEALw_wcB</t>
  </si>
  <si>
    <t xml:space="preserve">Difusor Comércio e Serviços Ltda</t>
  </si>
  <si>
    <t xml:space="preserve">10.834.465/0001-00 </t>
  </si>
  <si>
    <t xml:space="preserve">https://www.refrigeracaocatavento.com.br/oleo-bomba-vacuo-iso32-500ml-suryha?parceiro=6374</t>
  </si>
  <si>
    <t xml:space="preserve">CATMAT -400844- Oxalato de sódio, aspecto físico cristais finos brancos, inodoros, fórmula química Na2C2O4, massa molecular 134,01 g/mol, pureza mínima de 99%, característica adicional reagente P.A., número de referência química CAS 62-76-0. entregue em frasco com 500 g. Atenção: observar a unidade de medida do SIPAC e colocar múltiplo de 500 g.
</t>
  </si>
  <si>
    <t xml:space="preserve">400844</t>
  </si>
  <si>
    <t xml:space="preserve">https://sipac.sig.ufal.br/sipac/visualizaMaterial.do?popup=true&amp;id=23711&amp;acao=12</t>
  </si>
  <si>
    <t xml:space="preserve">OXALATO DE SÓDIO P.A. -</t>
  </si>
  <si>
    <t xml:space="preserve">https://www.lojaprolab.com.br/oxalato-de-sodio-pa-acs-79427</t>
  </si>
  <si>
    <t xml:space="preserve">https://www.biomedh.com.br/007477/oxalato-de-sodio-pa-acs-500gr.html</t>
  </si>
  <si>
    <t xml:space="preserve">https://www.glasslab.com.br/reagentes-e-meios/oxalato-de-sodio-pa-acs-500g</t>
  </si>
  <si>
    <t xml:space="preserve">CATMAT -412804- Óxido de alumínio, aspecto físico: pó ou grânulos brancos, inodoro, fórmula química: Al2O3, peso molecular: 101,96 g/mol, pureza mínima 99%, reagente, P.A. número de referência química: CAS 1344-28-1, entregue em frasco de 500 g. Atenção: observar a unidade de medida do SIPAC e colocar múltiplo de 500 g.</t>
  </si>
  <si>
    <t xml:space="preserve">https://sipac.sig.ufal.br/sipac/visualizaMaterial.do?popup=true&amp;id=30422&amp;acao=12</t>
  </si>
  <si>
    <t xml:space="preserve">ÓXIDO DE ALUMÍNIO (ALUMINA) P.A.</t>
  </si>
  <si>
    <t xml:space="preserve">https://www.glasslab.com.br/reagentes-e-meios/oxido-de-aluminio-alumina-pa-500g?parceiro=6858&amp;gclid=Cj0KCQjwtsCgBhDEARIsAE7RYh1ugCVCGwE1rZesy8LRpSxVPQSzkIFKCZ9_BecmzoaXekI0sn9jRxUaAlG4EALw_wcB</t>
  </si>
  <si>
    <t xml:space="preserve">https://www.orionprodutoscientificos.com.br/oxido-de-aluminio-pa-500g-exodo-cientifica?utm_source=Site&amp;utm_medium=GoogleMerchant&amp;utm_campaign=GoogleMerchant</t>
  </si>
  <si>
    <t xml:space="preserve">https://www.lojaprolab.com.br/oxido-de-aluminio-pa-79429</t>
  </si>
  <si>
    <t xml:space="preserve">CATMAT -348679- Óxido de cálcio, aspecto físico pó branco ou levemente amarelado, inodoro, peso molecular 56,08 g/mol, fórmula química CaO, pureza mínima de 95%, característica adicional reagente P.A., número de referência química: CAS 1305-78-8. Entregue em frasco com 500 g. Atenção: observar a unidade de medida do SIPAC e colocar múltiplo de 500 g.</t>
  </si>
  <si>
    <t xml:space="preserve">348679</t>
  </si>
  <si>
    <t xml:space="preserve">https://sipac.sig.ufal.br/sipac/visualizaMaterial.do?popup=true&amp;id=23714&amp;acao=12</t>
  </si>
  <si>
    <t xml:space="preserve">ÓXIDO DE CÁLCIO P.A.</t>
  </si>
  <si>
    <t xml:space="preserve">https://www.acsreagentes.com.br/oxido-de-calcio-pa-500g-acs-cientifica?gclid=Cj0KCQjwtsCgBhDEARIsAE7RYh3C7f_z1Tc9dcxI-hBOzQniAhLBCkOzl1nOmiaCM8fIYwWEehQog48aAqkMEALw_wcB</t>
  </si>
  <si>
    <t xml:space="preserve">https://www.didaticasp.com.br/oxido-de-calcio-pa-500g</t>
  </si>
  <si>
    <t xml:space="preserve">https://www.lojaprolab.com.br/oxido-de-calcio-pa-79434</t>
  </si>
  <si>
    <t xml:space="preserve">CATMAT -486260- Óxido de cobre, aspecto físico:em fio, fórmula química: CuO, peso molecular: 79,55 g/mol, pureza mínima de 99%, número de referência química: CAS 1317-38-0. Atenção: observar a unidade de medida do SIPAC e colocar múltiplo de 500 g.</t>
  </si>
  <si>
    <t xml:space="preserve">437110</t>
  </si>
  <si>
    <t xml:space="preserve">https://sipac.sig.ufal.br/sipac/visualizaMaterial.do?popup=true&amp;id=30423&amp;acao=12</t>
  </si>
  <si>
    <t xml:space="preserve">ÓXIDO DE COBRE II ICO P.A.</t>
  </si>
  <si>
    <t xml:space="preserve">https://www.acsreagentes.com.br/oxido-de-cobre-iiico-preto-em-po-pa-500g-acs-cientifica?utm_source=Site&amp;utm_medium=GoogleMerchant&amp;utm_campaign=GoogleMerchant&amp;gclid=Cj0KCQjwtsCgBhDEARIsAE7RYh0X2M9hLhesKYkf6MQnutde61a0DKRlqdKzyDOyf_m1qrazzJx8lSUaAnCjEALw_wcB</t>
  </si>
  <si>
    <t xml:space="preserve">https://www.glasslab.com.br/reagentes-e-meios/oxido-de-cobre-ii-ico-pa-500g?parceiro=6858&amp;gclid=Cj0KCQjwtsCgBhDEARIsAE7RYh2c4hYD42qc9tE82Fj_EYKW3gUXQ3FQoQ55yUu4Vv74EujCUWrBf6AaAguLEALw_wcB</t>
  </si>
  <si>
    <t xml:space="preserve">https://www.didaticasp.com.br/oxido-de-cobre-ii-ico-pa-500g</t>
  </si>
  <si>
    <t xml:space="preserve">CATMAT -376193- Óxido de estanho, aspecto físico: pó branco, levemente acinzentado, inodoro, fórmula química: SnO2 (óxido estânico - IV), peso molecular: 150,71 g/mol, pureza mínima de 99,8%, número de referência química: CAS 18282-10-5. Atenção: observar a unidade de medida do SIPAC e colocar múltiplo de 100 g.</t>
  </si>
  <si>
    <t xml:space="preserve">376193</t>
  </si>
  <si>
    <t xml:space="preserve">https://sipac.sig.ufal.br/sipac/visualizaMaterial.do?popup=true&amp;id=24917&amp;acao=12</t>
  </si>
  <si>
    <t xml:space="preserve">ÓXIDO DE ESTANHO IV (ICO)</t>
  </si>
  <si>
    <t xml:space="preserve">https://www.orionprodutoscientificos.com.br/oxido-de-manganes-iv-90-95-po-pa-bioxido-500g-exodo-cientifica?utm_source=Site&amp;utm_medium=GoogleMerchant&amp;utm_campaign=GoogleMerchant</t>
  </si>
  <si>
    <t xml:space="preserve">CATMAT -451537- Óxido de ferro, aspecto físico: pó, fórmula química: FE2O3 (III), peso molecular: 159,69 g/mol, pureza mínima de 97%, característica adicional: reagente P.A., número de referência química: CAS 1309-37-1, entregue em frasco com 100 g. Atenção: observar a unidade de medida do SIPAC e colocar múltiplo de 100 g.</t>
  </si>
  <si>
    <t xml:space="preserve">451537</t>
  </si>
  <si>
    <t xml:space="preserve">https://sipac.sig.ufal.br/sipac/visualizaMaterial.do?popup=true&amp;id=25868&amp;acao=12</t>
  </si>
  <si>
    <t xml:space="preserve">ÓXIDO DE FERRO III (ICO) P.A.</t>
  </si>
  <si>
    <t xml:space="preserve">https://www.lojanetlab.com.br/reagentes/pa/oxido-de-ferro-iii-ico-pa</t>
  </si>
  <si>
    <t xml:space="preserve">https://www.lojaprolab.com.br/oxido-de-ferro-iii-ico-pa-79442</t>
  </si>
  <si>
    <t xml:space="preserve">https://www.didaticasp.com.br/oxido-de-ferro-iii-ico-pa-100g</t>
  </si>
  <si>
    <t xml:space="preserve">CATMAT -347546- ÓXIDO DE MANGANÊS, ASPECTO FÍSICO: PÓ MARROM ESCURO, FÓRMULA QUÍMICA: MNO2, PESO MOLECULAR: 86,94 G,MOL, GRAU DE PUREZA: PUREZA MÍNIMA DE 90%, CARACTERÍSTICA ADICIONAL: REAGENTE P.A., NÚMERO DE REFERÊNCIA QUÍMICA: CAS 1313-13-9. Atenção: observar a unidade de medida do SIPAC e colocar múltiplo de 500 g.</t>
  </si>
  <si>
    <t xml:space="preserve">347546</t>
  </si>
  <si>
    <t xml:space="preserve">https://sipac.sig.ufal.br/sipac/visualizaMaterial.do?popup=true&amp;id=30424&amp;acao=12</t>
  </si>
  <si>
    <t xml:space="preserve">ÓXIDO DE MANGANÊS IV P.A.</t>
  </si>
  <si>
    <t xml:space="preserve">https://www.glasslab.com.br/reagentes-e-meios/oxido-de-manganes-iv-90-95-pa-500g?parceiro=6858&amp;srsltid=Ad5pg_EdoQzmIjgZleYb_BdXO51ZdEgWktIBijTDy-NdHWKYDkw0kQyokxk</t>
  </si>
  <si>
    <t xml:space="preserve">https://www.labimport.com.br/reagentes/oxido-de-manganes/oxido-de-manganes-iv-90-a-95-pa-bioxido-500g</t>
  </si>
  <si>
    <t xml:space="preserve">CATMAT 429540 - SOLUÇÃO PADRÃO, TIPO: DE COR, CONCENTRAÇÃO: 100 PPM, CARACTERÍSTICA ADICIONAL: PT-CO, PADRÃO DE COR APHA 100 UC (100 MG PT-CO/L). FRASCO COM 100 ML.</t>
  </si>
  <si>
    <t xml:space="preserve">429540</t>
  </si>
  <si>
    <t xml:space="preserve">https://sipac.sig.ufal.br/sipac/visualizaMaterial.do?popup=true&amp;id=30409&amp;acao=12</t>
  </si>
  <si>
    <t xml:space="preserve">PADRÃO PADRÃO COR PLATINA COBALTO 100MG/L FRASCO 100 ML</t>
  </si>
  <si>
    <t xml:space="preserve">CATMAT 429539 - SOLUÇÃO PADRÃO, TIPO: DE COR, CONCENTRAÇÃO: 10 PPM, CARACTERÍSTICA ADICIONAL: PT-CO, PADRÃO DE COR APHA 10 UC (10 MG PT-CO/L). FRASCO COM 100 ML.</t>
  </si>
  <si>
    <t xml:space="preserve">429539</t>
  </si>
  <si>
    <t xml:space="preserve">https://sipac.sig.ufal.br/sipac/visualizaMaterial.do?popup=true&amp;id=30408&amp;acao=12</t>
  </si>
  <si>
    <t xml:space="preserve">PADRÃO PADRÃO COR PLATINA COBALTO 10MG/L FRASCO 100 ML</t>
  </si>
  <si>
    <t xml:space="preserve">CATMAT 428230 - SOLUÇÃO PADRÃO, TIPO: DE COR, CONCENTRAÇÃO: 500 PPM, CARACTERÍSTICA ADICIONAL: PT-CO, PADRÃO DE COR APHA 500 UC (500 MG PT-CO/L). FRASCO COM 500 ML.</t>
  </si>
  <si>
    <t xml:space="preserve">428230</t>
  </si>
  <si>
    <t xml:space="preserve">https://sipac.sig.ufal.br/sipac/visualizaMaterial.do?popup=true&amp;id=30407&amp;acao=12</t>
  </si>
  <si>
    <t xml:space="preserve">PADRÃO PADRÃO COR PLATINA COBALTO 500MG/L FRASCO 500 ML</t>
  </si>
  <si>
    <t xml:space="preserve">https://www.pro-analise.com.br/padrao-cor-platina-cobalto_1002460250-Merck</t>
  </si>
  <si>
    <t xml:space="preserve">MERCK</t>
  </si>
  <si>
    <t xml:space="preserve">CATMAT -433226- Enzima, tipo: pancreatina, aspecto físico: pó liofilizado, características adicionais: de pâncreas porcino, pureza mínima: mínimo de 95%g, frasco com 500g.</t>
  </si>
  <si>
    <t xml:space="preserve">https://sipac.sig.ufal.br/sipac/visualizaMaterial.do?popup=true&amp;id=24914&amp;acao=12</t>
  </si>
  <si>
    <t xml:space="preserve">PANCREATINA P.A. 500 G</t>
  </si>
  <si>
    <t xml:space="preserve">https://www.acsreagentes.com.br/pancreatina-pa-500g-acs-cientifica?utm_source=Site&amp;utm_medium=GoogleMerchant&amp;utm_campaign=GoogleMerchant&amp;gclid=Cj0KCQjw2cWgBhDYARIsALggUhrhNCRoqIfqvJdIrJvbc9vzULAduNDv9Fnr5uDnuJ9OZhgoMo_Zh7EaArC9EALw_wcB</t>
  </si>
  <si>
    <t xml:space="preserve">https://www.glasslab.com.br/reagentes-e-meios/pancreatina-pa-500g?parceiro=6858&amp;gclid=Cj0KCQjw2cWgBhDYARIsALggUhpBjUQvQVkbDeCs1iGFLk3mhQBDxrh_PU3hoeYuHm_OrPTHKrcZUQYaAgyuEALw_wcB</t>
  </si>
  <si>
    <t xml:space="preserve">CATMAT -464232- Parafina, aspecto físico histológica, sólida, branca, ponto fusão 58 a 62, apresentação em pastilha</t>
  </si>
  <si>
    <t xml:space="preserve">464232</t>
  </si>
  <si>
    <t xml:space="preserve">https://sipac.sig.ufal.br/sipac/visualizaMaterial.do?popup=true&amp;id=23754&amp;acao=12</t>
  </si>
  <si>
    <t xml:space="preserve">PARAFINA HISTOLÓGICA SÓLIDA 58 A 62 EM PASTILHA</t>
  </si>
  <si>
    <t xml:space="preserve">	Quilogramas</t>
  </si>
  <si>
    <t xml:space="preserve">https://www.orionprodutoscientificos.com.br/parafina-histologica-58-62-1kg-exodo-cientifica?utm_source=Site&amp;utm_medium=GoogleMerchant&amp;utm_campaign=GoogleMerchant</t>
  </si>
  <si>
    <t xml:space="preserve">https://www.lojasynth.com/reagentes-analiticosmaterias-primas/reagentes-analiticosmaterias-primas/parafina-histologica-56-58-c?parceiro=2827&amp;variant_id=301297</t>
  </si>
  <si>
    <t xml:space="preserve">https://www.lojanetlab.com.br/reagentes/pa/parafina-histologica-56-58c-500g</t>
  </si>
  <si>
    <t xml:space="preserve">CATMAT -380907- Permanganato de potássio, aspecto físico pó cristalino marrom violáceo, inodoro, fórmula química KMnO4, peso molecular 158,03 g/mol, pureza mínima de 99%, característica adicional reagente P.A. ACS, número de referência química CAS 7722-64-7. Entregue em frasco com 500g. Atenção: observar a unidade de medida do SIPAC e colocar múltiplo de 500 g.</t>
  </si>
  <si>
    <t xml:space="preserve">380907</t>
  </si>
  <si>
    <t xml:space="preserve">https://sipac.sig.ufal.br/sipac/visualizaMaterial.do?popup=true&amp;id=23822&amp;acao=12</t>
  </si>
  <si>
    <t xml:space="preserve">PERMANGANATO DE POTÁSSIO P.A. ACS</t>
  </si>
  <si>
    <t xml:space="preserve">https://www.glasslab.com.br/reagentes-e-meios/permanganato-de-potassio-pa-acs-1kg?parceiro=6858&amp;gclid=Cj0KCQjw2cWgBhDYARIsALggUhpthQEvGFT3PXS2k6hVsOS6RPOkpJuD8Gt_5c3NxEnVDzNEztneWfUaAoiYEALw_wcB</t>
  </si>
  <si>
    <t xml:space="preserve">http://www.orbitallab.com.br/permanganato-de-potassio-pa-acs-(produto-controlado-pela-policia-federal)-2089</t>
  </si>
  <si>
    <t xml:space="preserve">Orbital Produtos para laboratórios</t>
  </si>
  <si>
    <t xml:space="preserve">Orbital</t>
  </si>
  <si>
    <t xml:space="preserve">CATMAT -412698- PERÓXIDO DE HIDROGÊNIO, ASPECTO FÍSICO: LÍQUIDO INCOLOR, INSTÁVEL, CORROSIVO, COMPOSIÇÃO BÁSICA: H202, PESO MOLECULAR: 34,01 G,MOL, PUREZA MÍNIMA: TEOR MÍNIMO DE 50%, CARACTERÍSTICA ADICIONAL: REAGENTE P.A., NÚMERO DE REFERÊNCIA QUÍMICA: CAS 7722-84-1</t>
  </si>
  <si>
    <t xml:space="preserve">412698</t>
  </si>
  <si>
    <t xml:space="preserve">https://sipac.sig.ufal.br/sipac/visualizaMaterial.do?popup=true&amp;id=23825&amp;acao=12</t>
  </si>
  <si>
    <t xml:space="preserve">PERÓXIDO DE HIDROGÊNIO 50% (200 VOLUMES) P.A.</t>
  </si>
  <si>
    <t xml:space="preserve">https://www.acsreagentes.com.br/peroxido-de-hidrogenio-50-200-vol-agua-oxigenada-pa-1l-acs-cientifica?utm_source=Site&amp;utm_medium=GoogleMerchant&amp;utm_campaign=GoogleMerchant</t>
  </si>
  <si>
    <t xml:space="preserve">https://www.biomedh.com.br/007116/peroxido-de-hidrogenio-50-200vol-1000ml.html</t>
  </si>
  <si>
    <t xml:space="preserve">https://www.glasslab.com.br/reagentes-e-meios/peroxido-de-hidrogenio-50-200v-pa-1l</t>
  </si>
  <si>
    <t xml:space="preserve">CATMAT -452824- Resorcinol, aspecto físico: pó branco, cristalino, odor característico, fórmula química: C6H6O2 (benzeno-1,3-diol), peso molecular: 110,11 g/mol, pureza mínima de 99%, característica adicional: reagente P.A., número de referência química: CAS 108-46-3. Entregue em frasco com 100g. Atenção: observar a unidade de medida do SIPAC e colocar múltiplo de 100 g.</t>
  </si>
  <si>
    <t xml:space="preserve">412981</t>
  </si>
  <si>
    <t xml:space="preserve">https://sipac.sig.ufal.br/sipac/visualizaMaterial.do?popup=true&amp;id=30783&amp;acao=12</t>
  </si>
  <si>
    <t xml:space="preserve">PIROCATECOL P.A.</t>
  </si>
  <si>
    <t xml:space="preserve">https://www.didaticasp.com.br/pirocatecol-pa-100g</t>
  </si>
  <si>
    <t xml:space="preserve">https://www.lojaprolab.com.br/pirocatecol-pa-pirocatequina-79491</t>
  </si>
  <si>
    <t xml:space="preserve">https://www.labimport.com.br/reagentes/pirocatequina/pirocatecol-pa-pirocatequina-100g</t>
  </si>
  <si>
    <t xml:space="preserve">CATMAT -416785- Polietilenoglicol (macrogol), aspecto físico: flocos cerosos brancos a quase brancos, odor fraco, peso molecular: em torno de 6.000 g/mol (PEG 6.000), fórmula química: OH(C2H4O)nH, número de referência química: CAS 25322-68-3, P.A., entregue em frasco com 500 g. Atenção: observar a unidade de medida do SIPAC e colocar múltiplo de 500 g.</t>
  </si>
  <si>
    <t xml:space="preserve">416785</t>
  </si>
  <si>
    <t xml:space="preserve">https://sipac.sig.ufal.br/sipac/visualizaMaterial.do?popup=true&amp;id=25884&amp;acao=12</t>
  </si>
  <si>
    <t xml:space="preserve">POLIETILENOGLICOL 6000 P.A.</t>
  </si>
  <si>
    <t xml:space="preserve">https://www.ciruvix.com.br/polietilenoglicol-6000-pa-500g-dinamica</t>
  </si>
  <si>
    <t xml:space="preserve">CIRUVIX COMERCIO LTDA</t>
  </si>
  <si>
    <t xml:space="preserve">https://www.lojasynth.com/reagentes-analiticosmaterias-primas/reagentes-analiticosmaterias-primas/polietilenoglicol-6000-peg-polietileno-glicol-pa?variant_id=301356</t>
  </si>
  <si>
    <t xml:space="preserve">https://ludwigbiotec.com.br/loja/produto/polietilenoglicol-6000-1-000-g/1209</t>
  </si>
  <si>
    <t xml:space="preserve">CATMAT -354392- Negro de eriocromo t, peso molecular: 461,38 g/mol, aspecto físico: pó escuro, preto marrom, inodoro, fórmula química: C20H12N3O7SNa, característica adicional: reagente P.A., número de referência química: CAS 1787-61-7, entregue em frasco com 25 g. Atenção: observar a unidade de medida do SIPAC e colocar múltiplo de 25 g.</t>
  </si>
  <si>
    <t xml:space="preserve">354392</t>
  </si>
  <si>
    <t xml:space="preserve">https://sipac.sig.ufal.br/sipac/visualizaMaterial.do?popup=true&amp;id=23482&amp;acao=12</t>
  </si>
  <si>
    <t xml:space="preserve">PRETO DE ERIOCROMO T P.A.</t>
  </si>
  <si>
    <t xml:space="preserve">https://www.glasslab.com.br/reagentes-e-meios/preto-de-eriocromo-t-ci-14645-pa-acs-25g?parceiro=6858&amp;gclid=Cj0KCQjw2cWgBhDYARIsALggUhqEQS5tA36CfNxRfrOHjku7iGZRZmQCW8YZTB_4c2JGAp8uGPTrlQ0aAnFYEALw_wcB</t>
  </si>
  <si>
    <t xml:space="preserve">https://www.acsreagentes.com.br/negropretode-eriocromo-t-eriochrome-black-ci-14645-25g-acs-cientifica?utm_source=Site&amp;utm_medium=GoogleMerchant&amp;utm_campaign=GoogleMerchant</t>
  </si>
  <si>
    <t xml:space="preserve">https://www.laderquimica.com.br/preto-de-eriocromo-t-pa-25g-neon</t>
  </si>
  <si>
    <t xml:space="preserve">CATMAT -338662- Reagente Bradford Corante, tipo: reagente de Bradford, aspecto físico: líquido; FRASCO com 500 mL.</t>
  </si>
  <si>
    <t xml:space="preserve">338662</t>
  </si>
  <si>
    <t xml:space="preserve">https://sipac.sig.ufal.br/sipac/visualizaMaterial.do?popup=true&amp;id=27613&amp;acao=12</t>
  </si>
  <si>
    <t xml:space="preserve">REAGENTE BRADFORD FRASCO 500 ML</t>
  </si>
  <si>
    <t xml:space="preserve">https://www.lojaprolab.com.br/reagente-de-bradford-pronto-para-uso-frasco-500ml-90911?utm_source=google&amp;utm_medium=feed&amp;utm_campaign=shopping&amp;gclid=Cj0KCQjw2cWgBhDYARIsALggUho-eScbLSKBCC_yTjEm0qLj5GVyvR23pSxBD4t1U6p6vPVKB6VevKYaAjtIEALw_wcB</t>
  </si>
  <si>
    <t xml:space="preserve">LGC Biotecnologia</t>
  </si>
  <si>
    <t xml:space="preserve">https://www.acsreagentes.com.br/reativo-de-bradford-500ml-acs-cientifica?utm_source=Site&amp;utm_medium=GoogleMerchant&amp;utm_campaign=GoogleMerchant&amp;gclid=Cj0KCQjw2cWgBhDYARIsALggUhpV-BgUAjg3qvNve_SnN-e-cJcxoKl7PYODOunLh-lzSOAMSLYp0_AaAg8GEALw_wcB</t>
  </si>
  <si>
    <t xml:space="preserve">Acs cientifica</t>
  </si>
  <si>
    <t xml:space="preserve">https://www.sigmaaldrich.com/BR/pt/product/sigma/b6916</t>
  </si>
  <si>
    <t xml:space="preserve">CATMAT -412156- Reagente analítico 4, tipo: reativo de Folin Ciocalteau, aspecto físico: solução aquosa, concentração 2 mol/L, frasco 500 mL.</t>
  </si>
  <si>
    <t xml:space="preserve">412156</t>
  </si>
  <si>
    <t xml:space="preserve">https://sipac.sig.ufal.br/sipac/visualizaMaterial.do?popup=true&amp;id=28269&amp;acao=12</t>
  </si>
  <si>
    <t xml:space="preserve">REATIVO FOLIN CIOCALTEAU 2M 500ML</t>
  </si>
  <si>
    <t xml:space="preserve">https://www.labimport.com.br/reagentes/reativo/reativo-folin-ciocalteau-500ml-12227</t>
  </si>
  <si>
    <t xml:space="preserve">LAB IMPORT - IMPORTACAO E EXPORTACAO DE EQUIPAMENTOS LTDA.</t>
  </si>
  <si>
    <t xml:space="preserve">Êxodo Científica</t>
  </si>
  <si>
    <t xml:space="preserve">https://www.orionprodutoscientificos.com.br/reativo-folin-ciocalteau-500ml-exodo-cientifica?utm_source=Site&amp;utm_medium=GoogleMerchant&amp;utm_campaign=GoogleMerchant</t>
  </si>
  <si>
    <t xml:space="preserve">452824</t>
  </si>
  <si>
    <t xml:space="preserve">https://sipac.sig.ufal.br/sipac/visualizaMaterial.do?popup=true&amp;id=25885&amp;acao=12</t>
  </si>
  <si>
    <t xml:space="preserve">RESORCINA (RESORCINOL) P.A.</t>
  </si>
  <si>
    <t xml:space="preserve">https://www.biomedh.com.br/007706/resorcina-resorcinol-pa-100gr.html</t>
  </si>
  <si>
    <t xml:space="preserve">https://www.acsreagentes.com.br/resorcina-resorsinol-pa-100g-acs-cientifica?utm_source=Site&amp;utm_medium=GoogleMerchant&amp;utm_campaign=GoogleMerchant&amp;gclid=Cj0KCQjw2cWgBhDYARIsALggUhqHkkQwrLsDMO7qpUgkQF2imZG55RdXIdhP5UOBr_otQFGWiW8e8ikaAtF-EALw_wcB</t>
  </si>
  <si>
    <t xml:space="preserve">https://www.glasslab.com.br/reagentes-e-meios/resorcina-resorcinol-pa-100g?parceiro=6858&amp;gclid=Cj0KCQjw2cWgBhDYARIsALggUhqrI5hPoKSgTiZ00ZMBoxusSgaEL839IDSie4veAq6TJDtr5FRfMOIaAqgREALw_wcB</t>
  </si>
  <si>
    <t xml:space="preserve">CATMAT -302856- RNASEZAP - AGENTE DE LIMPEZA PARA REMOÇÃO DE RNASES DE OBJETOS DE VIDRO, SUPERFÍCIES PLÁSTICAS, BANCADAS E PIPETAS. ARMAZENAMENTO EM TEMPERATURA AMBIENTE. (FRASCO COM 500ML)</t>
  </si>
  <si>
    <t xml:space="preserve">302856</t>
  </si>
  <si>
    <t xml:space="preserve">https://sipac.sig.ufal.br/sipac/visualizaMaterial.do?popup=true&amp;id=31010&amp;acao=12</t>
  </si>
  <si>
    <t xml:space="preserve">RNASEZAP </t>
  </si>
  <si>
    <t xml:space="preserve">09.287.895/0001-61</t>
  </si>
  <si>
    <t xml:space="preserve">https://www.thermofisher.com/order/catalog/product/br/pt/AM9780</t>
  </si>
  <si>
    <t xml:space="preserve">THERMO FISHER SCIENTIFIC BRASIL INSTRUMENTOS DE PROCESSO LTDA</t>
  </si>
  <si>
    <t xml:space="preserve">Invitrogen</t>
  </si>
  <si>
    <t xml:space="preserve">CATMAT -419368- Sacarose, composição química C12H22O11, peso molecular 342,29 g/mol, aspecto físico pó branco cristalino, inodoro, reagente P.A. característica adicional padrão de referência analítico, número de referência química CAS 57-50-1.</t>
  </si>
  <si>
    <t xml:space="preserve">419368</t>
  </si>
  <si>
    <t xml:space="preserve">https://sipac.sig.ufal.br/sipac/visualizaMaterial.do?popup=true&amp;id=23716&amp;acao=12</t>
  </si>
  <si>
    <t xml:space="preserve">SACAROSE P.A.</t>
  </si>
  <si>
    <t xml:space="preserve">https://www.labimport.com.br/reagentes/sacarose/sacarose-sucrose-pa-acs-1kg-12239</t>
  </si>
  <si>
    <t xml:space="preserve">https://www.glasslab.com.br/reagentes-e-meios/sacarose-sucrose-pa-acs-1kg?parceiro=6858&amp;srsltid=Ad5pg_EJ8PU31zpayRHWFKcsERsaKh6v1N1JVxBePOVVYQtfR_cAD4Nv4nQ</t>
  </si>
  <si>
    <t xml:space="preserve">https://www.orionprodutoscientificos.com.br/sacarose-p-a-1000-g-fabricante-neon-N02087?utm_source=Site&amp;utm_medium=GoogleMerchant&amp;utm_campaign=GoogleMerchant</t>
  </si>
  <si>
    <t xml:space="preserve">CATMAT -374748- SACAROSE ULTRAPURA (ULTRAPURE SUCROSE). (P.M. 342.30- QUILO / PUREZA:&gt;=99.9% / PARA USO EM PESQUISA. TEMPERATURA DE ESTOCAGEM 15 A 30 ºC.). FRASCO COM 5 QUILOS.</t>
  </si>
  <si>
    <t xml:space="preserve">https://sipac.sig.ufal.br/sipac/visualizaMaterial.do?popup=true&amp;id=30785&amp;acao=12</t>
  </si>
  <si>
    <t xml:space="preserve">SACAROSE ULTRAPURA</t>
  </si>
  <si>
    <t xml:space="preserve">CATMAT -374752- Safranina, composição química C20H19ClN4, aspecto físico pó vermelho pardo, inodoro, peso molecular 350,85, absorbância máxima 530-535 nm, índice internacional de clorante CI 50240. Entregue em frasco com 25 g. Atenção: observar a unidade de medida do SIPAC e colocar múltiplo de 25 g.</t>
  </si>
  <si>
    <t xml:space="preserve">374752</t>
  </si>
  <si>
    <t xml:space="preserve">https://sipac.sig.ufal.br/sipac/visualizaMaterial.do?popup=true&amp;id=23712&amp;acao=12</t>
  </si>
  <si>
    <t xml:space="preserve">SAFRANINA (CI 50240)</t>
  </si>
  <si>
    <t xml:space="preserve">https://www.orionprodutoscientificos.com.br/safranina-t-p-a-c-i-50240-25-g-fabricante-neon</t>
  </si>
  <si>
    <t xml:space="preserve">https://www.lojanetlab.com.br/reagentes/pa/safranina-ci-50240</t>
  </si>
  <si>
    <t xml:space="preserve">https://www.glasslab.com.br/reagentes-e-meios/safranina-t-ci-50240-25g?parceiro=6858&amp;gclid=Cj0KCQjw2cWgBhDYARIsALggUhrQLfDbbyYXELcjG4QeDSA-2sqSfL3Qxsc8b-T9n8Fw2mGghS025voaAjpXEALw_wcB</t>
  </si>
  <si>
    <t xml:space="preserve">CATMAT -356968- Selenito de sódio, aspecto físico: pó geralmente branco, peso molecular: 172,94 g/mol, fórmula química: Na2SeO3, pureza mínima de 98%, característica adicional: reagente P.A., número de referência química: CAS 10102-18-8, entregue em frasco com 100 g. Atenção: observar a unidade de medida do SIPAC e colocar múltiplo de 100 g.</t>
  </si>
  <si>
    <t xml:space="preserve">356968</t>
  </si>
  <si>
    <t xml:space="preserve">https://sipac.sig.ufal.br/sipac/visualizaMaterial.do?popup=true&amp;id=24899&amp;acao=12</t>
  </si>
  <si>
    <t xml:space="preserve">SELENITO DE SÓDIO ANIDRO P.A.</t>
  </si>
  <si>
    <t xml:space="preserve">https://www.glasslab.com.br/reagentes-e-meios/selenito-de-sodio-anidro-pa-100g?parceiro=6858&amp;gclid=Cj0KCQjw2cWgBhDYARIsALggUhrQKcTkpSWj6XCEfdAWvu5rXwgMpFZKLH1FfzaSsAxrNYzV1hVnAjIaAj2CEALw_wcB</t>
  </si>
  <si>
    <t xml:space="preserve">https://www.acsreagentes.com.br/selenito-de-sodio-anidro-pa-100g-acs-cientifica?utm_source=Site&amp;utm_medium=GoogleMerchant&amp;utm_campaign=GoogleMerchant</t>
  </si>
  <si>
    <t xml:space="preserve">https://www.didaticasp.com.br/produto/selenito-de-sodio-anidro-pa-100g-cas-10102-18-8.html</t>
  </si>
  <si>
    <t xml:space="preserve">CATMAT -317830- SÍLICA GEL, COMPOSIÇÃO: SIO2, COR: AZUL, ASPECTO FÍSICO: GRANULADO, APLICAÇÃO: DESUMIDIFICAR E DESIDRATAR GASES, CARACTERÍSTICAS ADICIONAIS: INDICADOR DE UMIDADE, TAMANHO GRÃO: 4 A 8 MM, FRASCO COM 500 G</t>
  </si>
  <si>
    <t xml:space="preserve">317830</t>
  </si>
  <si>
    <t xml:space="preserve">https://sipac.sig.ufal.br/sipac/visualizaMaterial.do?popup=true&amp;id=23709&amp;acao=12</t>
  </si>
  <si>
    <t xml:space="preserve">SÍLICA GEL 4 A 8 MM FRASCO COM 500 G</t>
  </si>
  <si>
    <t xml:space="preserve">https://www.labimport.com.br/reagentes/silicagel/silica-gel-azul-4-a-8mm-pa-500g</t>
  </si>
  <si>
    <t xml:space="preserve">https://www.didaticasp.com.br/silicagel-azul-4-a-8mm-pa-500g</t>
  </si>
  <si>
    <t xml:space="preserve">https://www.laderquimica.com.br/silica-gel-azul-4-a-8mm-pa-500g-neon</t>
  </si>
  <si>
    <t xml:space="preserve">CATMAT -348972- Silicato de sódio, aspecto físico: pó, cristais ou grânulos brancos, composição química: Na2SiO3 (anidro), peso molecular: 122,06 g/mol, teor mínimo de 50% de SiO2, número de referência química: CAS 6834-92-0, entregue em frasco com 500 g. Atenção: observar a unidade de medida do SIPAC e colocar múltiplo de 500 g.</t>
  </si>
  <si>
    <t xml:space="preserve">416261</t>
  </si>
  <si>
    <t xml:space="preserve">https://sipac.sig.ufal.br/sipac/visualizaMaterial.do?popup=true&amp;id=23707&amp;acao=12</t>
  </si>
  <si>
    <t xml:space="preserve">SILICATO DE SÓDIO (PURO) ANIDRO</t>
  </si>
  <si>
    <t xml:space="preserve">	Gramas</t>
  </si>
  <si>
    <t xml:space="preserve">https://www.didaticasp.com.br/silicato-de-sodio-puro-500g</t>
  </si>
  <si>
    <t xml:space="preserve">https://www.lojaprolab.com.br/silicato-de-sodio-puro-79751</t>
  </si>
  <si>
    <t xml:space="preserve">https://www.orionprodutoscientificos.com.br/silicato-de-sodio-puro-500g-exodo-cientifica?utm_source=Site&amp;utm_medium=GoogleMerchant&amp;utm_campaign=GoogleMerchant</t>
  </si>
  <si>
    <t xml:space="preserve">CATMAT -327373- CORANTE Azul De Cresil Brilhante , Características Adicionais: CI 51010. Entregue em frasco com 100 mL.</t>
  </si>
  <si>
    <t xml:space="preserve">https://sipac.sig.ufal.br/sipac/visualizaMaterial.do?popup=true&amp;id=30777&amp;acao=12</t>
  </si>
  <si>
    <t xml:space="preserve">SOLUÇÃO DE AZUL CRESIL BRILHANTE (CI.51010)</t>
  </si>
  <si>
    <t xml:space="preserve">https://www.acsreagentes.com.br/azul-de-cresil-brilhante-ci-51010-5g-acs-cientifica?utm_source=Site&amp;utm_medium=GoogleMerchant&amp;utm_campaign=GoogleMerchant&amp;gclid=Cj0KCQiAx6ugBhCcARIsAGNmMbh7GPJCo8wGyXlOfLYl6LBW-YAINRhEwiiYiTb1zf0nEUGod_nSEDEaAlrdEALw_wcB</t>
  </si>
  <si>
    <t xml:space="preserve">https://www.orionprodutoscientificos.com.br/azul-de-cresil-brilhante-c-i-51010-25-g-fabricante-neon</t>
  </si>
  <si>
    <t xml:space="preserve">ORION PRODUTOS E SERVIÇOS DE LABORATORIO LTDA </t>
  </si>
  <si>
    <t xml:space="preserve">https://www.glasslab.com.br/reagentes-e-meios/corantes-quimicos/azul-cresil-brilhante-ci-51010-25g?parceiro=6858&amp;srsltid=Ad5pg_GRXlsuXlnjdJO9hX4yJa3vuy4A0VL4NOVnYdJhJXJrfZZyDStvllQ</t>
  </si>
  <si>
    <t xml:space="preserve">CATMAT -289050- SOLUÇÃO TAMPÃO, LEITURA PH 10, APLICAÇÃO CALIBRAGEM DE PEAGÂMETRO. EM FRASCO COM 500 ML</t>
  </si>
  <si>
    <t xml:space="preserve">289050</t>
  </si>
  <si>
    <t xml:space="preserve">https://sipac.sig.ufal.br/sipac/visualizaMaterial.do?popup=true&amp;id=23880&amp;acao=12</t>
  </si>
  <si>
    <t xml:space="preserve">SOLUÇÃO TAMPÃO PH 10,0 (BUFFER) FRASCO 500 ML</t>
  </si>
  <si>
    <t xml:space="preserve">https://www.lojanetlab.com.br/solucao-tampao-buffer-ph-10-00-frasco-de-500ml-dinamica</t>
  </si>
  <si>
    <t xml:space="preserve">https://www.labimport.com.br/reagentes/solucoes/solucao-tampao-buffer-ph-10-00-500ml</t>
  </si>
  <si>
    <t xml:space="preserve">https://www.lojasynth.com/solucoes/solucoes-tampao-e-kcl/solucao-tampao-ph-10-0-buffer</t>
  </si>
  <si>
    <t xml:space="preserve">Synth </t>
  </si>
  <si>
    <t xml:space="preserve">CATMAT -289046- Solução tampão, leitura pH 3,0, aplicação calibragem de peagômetro, frasco com 500 mL.</t>
  </si>
  <si>
    <t xml:space="preserve">289046</t>
  </si>
  <si>
    <t xml:space="preserve">https://sipac.sig.ufal.br/sipac/visualizaMaterial.do?popup=true&amp;id=23881&amp;acao=12</t>
  </si>
  <si>
    <t xml:space="preserve">SOLUÇÃO TAMPÃO PH 3,0 (BUFFER) FRASCO 500 ML</t>
  </si>
  <si>
    <t xml:space="preserve">https://www.acsreagentes.com.br/solucao-tampao-buffer-ph-300-500ml-acs-cientifica</t>
  </si>
  <si>
    <t xml:space="preserve">https://www.glasslab.com.br/reagentes-e-meios/tampao-buffer-ph-3-00-500ml?parceiro=6858&amp;gclid=Cj0KCQjw2cWgBhDYARIsALggUhr8DtcNO-IDvSRmKA_USozsONmaLacTO6B-Q8rutHFR3FnKVqps1zIaAtAfEALw_wcB</t>
  </si>
  <si>
    <t xml:space="preserve">https://www.didaticasp.com.br/solucao-tampao-ph-300-500ml</t>
  </si>
  <si>
    <t xml:space="preserve">CATMAT -461991- SOLUÇÃO TAMPÃO, LEITURA PH 4,0, APLICAÇÃO CALIBRAGEM DE PEAGÔMETRO. FRASCO 500 ML.</t>
  </si>
  <si>
    <t xml:space="preserve">461991</t>
  </si>
  <si>
    <t xml:space="preserve">https://sipac.sig.ufal.br/sipac/visualizaMaterial.do?popup=true&amp;id=23882&amp;acao=12</t>
  </si>
  <si>
    <t xml:space="preserve">SOLUÇÃO TAMPÃO PH 4,0 (BUFFER) FRASCO 500 ML</t>
  </si>
  <si>
    <t xml:space="preserve">https://www.mmcomercio.net.br/produto/solucao-tampao-buffer-ph-400-500ml-exodo.html?utm_source=Site&amp;utm_medium=GoogleMerchant&amp;utm_campaign=GoogleMerchant&amp;gclid=Cj0KCQjw2cWgBhDYARIsALggUhqAtrhdut-9KU1PMbgaq3RsDMpx6FOdr2AUwAug1gdV8V-WP0r_AIsaApO_EALw_wcB</t>
  </si>
  <si>
    <t xml:space="preserve">https://www.glasslab.com.br/reagentes-e-meios/tampao-buffer-ph-4-00-500ml?parceiro=6858&amp;gclid=Cj0KCQjw2cWgBhDYARIsALggUhqKYAdJjZ-madJWCalpddmBC9RnzjwhYfaBfuq2R0hecZUi1X_ZbMMaAmyDEALw_wcB</t>
  </si>
  <si>
    <t xml:space="preserve">https://www.quimicenter.com.br/reagentes-para-laboratorios-sol-tampao-10-00-500ml-imbralab?parceiro=2837&amp;gclid=Cj0KCQjw2cWgBhDYARIsALggUhoRdZUUnUVifq8kd3GXYYkr52tYHlhoQMU0UnVhAIQjgtwdUq7UlssaArWrEALw_wcB</t>
  </si>
  <si>
    <t xml:space="preserve">CATMAT -234417- SOLUÇÃO TAMPÃO, LEITURA PH 7,0, APLICAÇÃO CALIBRAGEM DE PEAGÔMETRO. FRASCO COM 500 ML</t>
  </si>
  <si>
    <t xml:space="preserve">234417</t>
  </si>
  <si>
    <t xml:space="preserve">https://sipac.sig.ufal.br/sipac/visualizaMaterial.do?popup=true&amp;id=23701&amp;acao=12</t>
  </si>
  <si>
    <t xml:space="preserve">SOLUÇÃO TAMPÃO PH 7,0 (BUFFER) FRASCO 500 ML</t>
  </si>
  <si>
    <t xml:space="preserve">https://www.lojanetlab.com.br/solucao-tampao-buffer-ph-7-00-frasco-de-500ml-dinamica</t>
  </si>
  <si>
    <t xml:space="preserve">https://www.lojasynth.com/solucoes/solucoes-tampao-e-kcl/solucao-tampao-ph-7-0-buffer</t>
  </si>
  <si>
    <t xml:space="preserve">https://www.labimport.com.br/reagentes/solucoes/solucao-tampao-ph-7-0-buffer-500ml</t>
  </si>
  <si>
    <t xml:space="preserve">CATMAT -407914- Corante, tipo: sudan III, aspecto físico: pó, características adicionais: CI 26100, frasco com 25 g.</t>
  </si>
  <si>
    <t xml:space="preserve">407914</t>
  </si>
  <si>
    <t xml:space="preserve">https://sipac.sig.ufal.br/sipac/visualizaMaterial.do?popup=true&amp;id=28217&amp;acao=12</t>
  </si>
  <si>
    <t xml:space="preserve">SUDAN III CI 26100 FRASCO 25 G</t>
  </si>
  <si>
    <t xml:space="preserve">https://www.acsreagentes.com.br/sudan-iii-ci-26100-25g-acs-cientifica</t>
  </si>
  <si>
    <t xml:space="preserve">https://www.lojanetlab.com.br/reagentes/pa/sudam-iii-ci-26100</t>
  </si>
  <si>
    <t xml:space="preserve">https://www.glasslab.com.br/reagentes-e-meios/sudan-iii-ci-26100-25g?parceiro=6858&amp;gclid=Cj0KCQjw2cWgBhDYARIsALggUhrv0dB2Pfh5EOnW7_Ae42hEx-UOmdQXRaMGuyXMFBv39td4BZu0hcwaAr9yEALw_wcB</t>
  </si>
  <si>
    <t xml:space="preserve">CATMAT - 359282- Sulfato de alumínio, aspecto físico: cristal incolor, inodoro, fórmula química: Al2(SO4)3.(14-18)H2O (octadeca-hidratado), pureza mínima de 98%, característica adicional: reagente P.A., Fornecimento em Frasco de 500 g. Atenção: observar a unidade de medida do SIPAC e colocar múltiplo de 500 g.</t>
  </si>
  <si>
    <t xml:space="preserve">359282</t>
  </si>
  <si>
    <t xml:space="preserve">https://sipac.sig.ufal.br/sipac/visualizaMaterial.do?popup=true&amp;id=25909&amp;acao=12</t>
  </si>
  <si>
    <t xml:space="preserve">SULFATO DE ALUMÍNIO (14-18)H2O P.A.</t>
  </si>
  <si>
    <t xml:space="preserve">https://www.lojasynth.com/reagentes-analiticosmaterias-primas/reagentes-analiticosmaterias-primas/sulfato-de-aluminio-14-a-18-h2o-p-a-a-c-s?variant_id=301547</t>
  </si>
  <si>
    <t xml:space="preserve">https://www.pro-analise.com.br/reagentes?product_id=6905</t>
  </si>
  <si>
    <t xml:space="preserve">https://www.glasslab.com.br/reagentes-e-meios/sulfato-de-aluminio-14-18h2o-pa-1kg</t>
  </si>
  <si>
    <t xml:space="preserve">CATMAT -428569- Sulfato de alumínio, aspecto físico: cristal incolor, inodoro, fórmula química: Al2(SO4)3 (anidro), peso molecular: 342,14 g/mol, pureza mínima de 98%, característica adicional: reagente p.a., número de referência química: cas 10043-01-3 , entregue em frasco de 500 g. Atenção: observar a unidade de medida do SIPAC e colocar múltiplo de 500 g.</t>
  </si>
  <si>
    <t xml:space="preserve">428569</t>
  </si>
  <si>
    <t xml:space="preserve">https://sipac.sig.ufal.br/sipac/visualizaMaterial.do?popup=true&amp;id=23696&amp;acao=12</t>
  </si>
  <si>
    <t xml:space="preserve">SULFATO DE ALUMÍNIO ANIDRO P.A.</t>
  </si>
  <si>
    <t xml:space="preserve">https://www.acsreagentes.com.br/sulfato-de-aluminio-anidro-pa-500g-acs-cientifica</t>
  </si>
  <si>
    <t xml:space="preserve">CATMAT -357797- Sulfato de alumínio e potássio, composição química: ALK(SO4)2.12H2O (dodecahidratado), peso molecular: 474,39 g/mol, aspecto físico: cristal branco, inodoro, pureza mínima de 98%, característica adicional: reagente P.A., número de referência química: CAS 7784-24-9, entregue em frasco de 500g. Atenção: observar a unidade de medida do SIPAC e colocar múltiplo de 500 g.</t>
  </si>
  <si>
    <t xml:space="preserve">357797</t>
  </si>
  <si>
    <t xml:space="preserve">https://sipac.sig.ufal.br/sipac/visualizaMaterial.do?popup=true&amp;id=23697&amp;acao=12</t>
  </si>
  <si>
    <t xml:space="preserve">SULFATO DE ALUMÍNIO E POTÁSSIO (12H2O) P.A.</t>
  </si>
  <si>
    <t xml:space="preserve">https://www.lojasynth.com/reagentes-analiticosmaterias-primas/reagentes-analiticosmaterias-primas/sulfato-de-aluminio-e-potassio-12h2o-p-a-a-c-s-embalagem-500g</t>
  </si>
  <si>
    <t xml:space="preserve">https://www.lojaprolab.com.br/sulfato-de-aluminio-e-potassio-12h2o-pa-acs-79763</t>
  </si>
  <si>
    <t xml:space="preserve">https://ludwigbiotec.com.br/loja/produto/sulfato-de-aluminio-e-potassio-dodecahidratado-p-a-500-g/1273</t>
  </si>
  <si>
    <t xml:space="preserve">CATMAT -452977- Sulfato de amônio, composição (NH4)2SO4, peso molecular 132,14 g/mol, aspectos físicos finos cristais ou grânulos brancos, odor de amônia, pureza mínima de 99%, característica adicional reagente P.A., número de referência química CAS 7783-20-2. fornecimento em frasco com 500 g. Atenção: observar a unidade de medida do SIPAC e colocar múltiplo de 500 g.</t>
  </si>
  <si>
    <t xml:space="preserve">452977</t>
  </si>
  <si>
    <t xml:space="preserve">https://sipac.sig.ufal.br/sipac/visualizaMaterial.do?popup=true&amp;id=23694&amp;acao=12</t>
  </si>
  <si>
    <t xml:space="preserve">SULFATO DE AMÔNIO ANIDRO P.A</t>
  </si>
  <si>
    <t xml:space="preserve">https://www.lojasynth.com/reagentes-analiticosmaterias-primas/reagentes-analiticosmaterias-primas/sulfato-de-amonio-p-a?parceiro=2827&amp;variant_id=303730</t>
  </si>
  <si>
    <t xml:space="preserve">https://www.biomedh.com.br/007515/sulfato-de-amonio-pa-1000gr.html</t>
  </si>
  <si>
    <t xml:space="preserve">https://www.lojanetlab.com.br/sulfato-de-amonio-pa-acs-1000gr-dinamica</t>
  </si>
  <si>
    <t xml:space="preserve">CATMAT -374814 - Sulfato de cálcio, aspecto físico pó granular branco, inodoro, peso molecular 172,17 g/mol, fórmula química CaSO4.2H2O (di-hidratado), característica adicional precipitado, reagente P.A., teor de pureza mínima de 98%, número de referência química: CAS 10101-41-4. Fornecimento em Frasco de 500 g. Atenção: observar a unidade de medida do SIPAC e colocar múltiplo de 500 g.</t>
  </si>
  <si>
    <t xml:space="preserve">374814</t>
  </si>
  <si>
    <t xml:space="preserve">https://sipac.sig.ufal.br/sipac/visualizaMaterial.do?popup=true&amp;id=23693&amp;acao=12</t>
  </si>
  <si>
    <t xml:space="preserve">SULFATO DE CÁLCIO (2H2O) P.A.</t>
  </si>
  <si>
    <t xml:space="preserve">https://www.glasslab.com.br/reagentes-e-meios/sulfato-de-calcio-2h2o-pa-1kg?parceiro=6858</t>
  </si>
  <si>
    <t xml:space="preserve">https://www.lojasynth.com/reagentes-analiticosmaterias-primas/reagentes-analiticosmaterias-primas/sulfato-de-calcio-2h2o-p-a?variant_id=301086</t>
  </si>
  <si>
    <t xml:space="preserve">15.188.525/0001-70</t>
  </si>
  <si>
    <t xml:space="preserve">https://www.lojaprlabor.com.br/produtos/sulfato-de-calcio-2h2o-pa-500g/</t>
  </si>
  <si>
    <t xml:space="preserve">PR LABOR COM. DE PRODUTOS E EQUIPAMENTOS PARA LABORATORIOS LTDA.</t>
  </si>
  <si>
    <t xml:space="preserve"> CATMAT -345770- Sulfato de cobre II, composição química CuSO4.5H2O, aspecto físico fino cristal azul, peso da molécula 249,68 g/mol, pureza mínima de 99%, característica adicional reagente P.A., número de referência química CAS 7758-99-8. fornecimento em frasco de 500 g. Atenção: observar a unidade de medida do SIPAC e colocar múltiplo de 500 g.</t>
  </si>
  <si>
    <t xml:space="preserve">345770</t>
  </si>
  <si>
    <t xml:space="preserve">https://sipac.sig.ufal.br/sipac/visualizaMaterial.do?popup=true&amp;id=23692&amp;acao=12</t>
  </si>
  <si>
    <t xml:space="preserve">SULFATO DE COBRE II ICO (5H2O) P.A.</t>
  </si>
  <si>
    <t xml:space="preserve">https://www.laderquimica.com.br/sulfato-de-cobre-ii-ico-5h2o-pa-acs-500g-dinamica?utm_source=Site&amp;utm_medium=GoogleMerchant&amp;utm_campaign=GoogleMerchant&amp;srsltid=Ad5pg_G-mR17s65cWsUaIVFYAMkytWrwH6oYCAacqfN3u8QwFBQtZ52dmlo</t>
  </si>
  <si>
    <t xml:space="preserve">https://www.labimport.com.br/reagentes/sulfato-de-cobre/sulfato-de-cobre-ii-ico-5h2o-pa-acs-500g-12297</t>
  </si>
  <si>
    <t xml:space="preserve">https://www.orionprodutoscientificos.com.br/sulfato-de-cobre-ii-ico-5-h2o-pa-acs-500g-exodo-cientifica?utm_source=Site&amp;utm_medium=GoogleMerchant&amp;utm_campaign=GoogleMerchant</t>
  </si>
  <si>
    <t xml:space="preserve">CATMAT -437244- SULFATO DE FERRO II, ASPECTO FÍSICO: PÓ, COMPOSIÇÃO QUÍMICA: FESO4.7H2O (SULFATO DE FERRO II HEPTAHIDRATADO), PESO MOLECULAR: 278,01 G,MOL, GRAU DE PUREZA: PUREZA MÍNIMA DE 99%, CARACTERÍSTICA ADICIONAL: REAGENTE P.A., NÚMERO DE REFERÊNCIA QUÍMICA: CAS 7782-63-0. Fornecimento em Frasco de 500 g. Atenção: observar a unidade de medida do SIPAC e colocar múltiplo de 500 g.</t>
  </si>
  <si>
    <t xml:space="preserve">437244</t>
  </si>
  <si>
    <t xml:space="preserve">https://sipac.sig.ufal.br/sipac/visualizaMaterial.do?popup=true&amp;id=30786&amp;acao=12</t>
  </si>
  <si>
    <t xml:space="preserve">SULFATO DE FERRO II (OSO) (7H2O) P.A.</t>
  </si>
  <si>
    <t xml:space="preserve">LAURISTELA</t>
  </si>
  <si>
    <t xml:space="preserve">https://www.orionprodutoscientificos.com.br/sulfato-de-ferro-ii-oso7-h2o-pa-500g-exodo-cientifica?utm_source=Site&amp;utm_medium=GoogleMerchant&amp;utm_campaign=GoogleMerchant</t>
  </si>
  <si>
    <t xml:space="preserve">https://www.lojasynth.com/reagentes-analiticosmaterias-primas/reagentes-analiticosmaterias-primas/sulfato-de-ferro-oso-7h2o-p-a-a-c-s?parceiro=2827&amp;variant_id=301011</t>
  </si>
  <si>
    <t xml:space="preserve">https://www.biomedh.com.br/007702/sulfato-de-ferro-ii-oso-7h2o-pa-acs-500gr.html</t>
  </si>
  <si>
    <t xml:space="preserve">CATMAT -359946- SULFATO DE FERRO II E AMÔNIO (SULFATO FERROSO AMONIACAL), ASPECTO FÍSICO CRISTAIS VERDES, PESO MOLECULAR 392,14, FÓRMULA QUÍMICA FE(NH4)2(SO4)2.6H2O, PUREZA MÍNIMO DE 99 %, CARACTERÍSTICA ADICIONAL REAGENTE P.A., NÚMERO DE REFERÊNCIA QUÍMICA CAS 7783-85-9. FORNECIMENTO EM FRASCO DE 500 G. ATENÇÃO: OBSERVAR A UNIDADE DE MEDIDA DO SIPAC E COLOCAR MÚLTIPLO DE 500.</t>
  </si>
  <si>
    <t xml:space="preserve">359946</t>
  </si>
  <si>
    <t xml:space="preserve">https://sipac.sig.ufal.br/sipac/visualizaMaterial.do?popup=true&amp;id=23687&amp;acao=12</t>
  </si>
  <si>
    <t xml:space="preserve">SULFATO DE FERRO II (OSO) E AMÔNIA (6H2O) P.A. (SULFATO FERROSO AMONIACAL)</t>
  </si>
  <si>
    <t xml:space="preserve">https://www.biomedh.com.br/007726/sulfato-ferro-ii-oso-e-amonio-6h2o-pa-acs-250gr.html</t>
  </si>
  <si>
    <t xml:space="preserve">https://ludwigbiotec.com.br/loja/produto/sulfato-de-ferro-ii-amoniacal-hexahidratado-p-a-500-g/1297</t>
  </si>
  <si>
    <t xml:space="preserve">CATMAT -436138- SULFATO DE AMÔNIO E FERRO, ASPECTO FÍSICO: PÓ VERDE A AZULADO, FOTOSSENSÍVEL, HIGROSCÓPICO, PESO MOLECULAR: 482,19 G,MOL, FÓRMULA QUÍMICA: NH4FE(SO4)2.12H2O (DODECAHIDRATADO), GRAU DE PUREZA: PUREZA MÍNIMA DE 99%, NÚMERO DE REFERÊNCIA QUÍMICA: CAS 7783-83-7, CARACTERÍSTICAS ADICIONAIS: REAGENTE P.A. ACS. Atenção: observar a unidade de medida do SIPAC e colocar múltiplo de 500 g.</t>
  </si>
  <si>
    <t xml:space="preserve">436138</t>
  </si>
  <si>
    <t xml:space="preserve">https://sipac.sig.ufal.br/sipac/visualizaMaterial.do?popup=true&amp;id=30440&amp;acao=12</t>
  </si>
  <si>
    <t xml:space="preserve">SULFATO DE FERRO III ICO E AMÔNIO (12H2O) P.A. ACS </t>
  </si>
  <si>
    <t xml:space="preserve">https://www.glasslab.com.br/reagentes-e-meios/sulfato-de-ferro-iii-ico-amon-pa-acs-500g?parceiro=6858&amp;srsltid=Ad5pg_H0m90BAg0Yhkv-Y0IXZVfjYKg_dKXbftARIUJZPxtr_HkmNZyTpZM</t>
  </si>
  <si>
    <t xml:space="preserve">https://www.orionprodutoscientificos.com.br/sulfato-de-ferro-iii-ico-e-amonio12-h2o-ferrico-amoniacal-pa-acs-500g-exodo-cientifica?utm_source=Site&amp;utm_medium=GoogleMerchant&amp;utm_campaign=GoogleMerchant</t>
  </si>
  <si>
    <t xml:space="preserve">https://www.biomedh.com.br/008103/sulfato-de-ferro-3-ico-e-amonio12h2o-pa-acs-500g.html</t>
  </si>
  <si>
    <t xml:space="preserve">CATMAT -445557- Sulfato de magnésio, aspecto físico: cristal incolor, brilhante, inodoro, amargo, fórmula química: mgSO4.7H2O, massa molecular: 246,48 g/mol, pureza mínima de 98%, característica adicional: reagente P.A., número de referência química: CAS 10034-99-8, entregue em frasco de 500 g. Atenção: observar a unidade de medida do SIPAC e colocar múltiplo de 500 g.</t>
  </si>
  <si>
    <t xml:space="preserve">445557</t>
  </si>
  <si>
    <t xml:space="preserve">https://sipac.sig.ufal.br/sipac/visualizaMaterial.do?popup=true&amp;id=23686&amp;acao=12</t>
  </si>
  <si>
    <t xml:space="preserve">SULFATO DE MAGNÉSIO (7H2O) P.A.</t>
  </si>
  <si>
    <t xml:space="preserve">38.438.085/0001-67</t>
  </si>
  <si>
    <t xml:space="preserve">https://perfyltech.mercadoshops.com.br/MLB-2757363482-sulfato-de-magnesio-pa-acs-500g-_JM?gclid=Cj0KCQjwtsCgBhDEARIsAE7RYh3G5tCI6PEYjAv3Axzs2TAVTS2-1LdoZsjw0jlAeaZKJ03N4kxF4eYaAvkzEALw_wcB</t>
  </si>
  <si>
    <t xml:space="preserve">Perfyl Tech Quimica Ltda (Perfyl Tech)</t>
  </si>
  <si>
    <t xml:space="preserve">Perfil Tech</t>
  </si>
  <si>
    <t xml:space="preserve">https://www.orionprodutoscientificos.com.br/sulfato-de-magnesio-7h2o-pa-500gr-exodo-cientifica?utm_source=Site&amp;utm_medium=GoogleMerchant&amp;utm_campaign=GoogleMerchant</t>
  </si>
  <si>
    <t xml:space="preserve">CNPJ 51.520.377/0001-02</t>
  </si>
  <si>
    <t xml:space="preserve">https://www.lojaprlabor.com.br/produtos/sulfato-de-magnesio-7h20-pa-acs-frasco-500g/?pf=gs&amp;variant=311100414</t>
  </si>
  <si>
    <t xml:space="preserve">CATMAT -381057- Sulfato de magnésio, aspecto físico: cristal incolor, brilhante, inodoro, amargo, fórmula química: MgSO4 anidro, massa molecular: 120,37 g/mol, pureza mínima de 98%, característica adicional: reagente P.A., número de referência química: CAS 7487-88-9. Fornecimento em Frasco de 1000 g. Atenção: observar a unidade de medida do SIPAC e colocar múltiplo de 1000 g.</t>
  </si>
  <si>
    <t xml:space="preserve">381057</t>
  </si>
  <si>
    <t xml:space="preserve">https://sipac.sig.ufal.br/sipac/visualizaMaterial.do?popup=true&amp;id=25899&amp;acao=12</t>
  </si>
  <si>
    <t xml:space="preserve">SULFATO DE MAGNESIO ANIDRO P.A.</t>
  </si>
  <si>
    <t xml:space="preserve">https://www.glasslab.com.br/reagentes-e-meios/sulfato-de-magnesio-anidro-pa-1kg</t>
  </si>
  <si>
    <t xml:space="preserve">https://www.labimport.com.br/reagentes/sulfato-de-magnesio/sulfato-de-magnesio-anidro-pa-1kg</t>
  </si>
  <si>
    <t xml:space="preserve">https://www.orionprodutoscientificos.com.br/sulfato-de-magnesio-anidro-pa-1kg-exodo-cientifica</t>
  </si>
  <si>
    <t xml:space="preserve">CATMAT -376981- sulfato de mercúrio ii, composição química hgso4, aspecto físico pó cristalino, peso molecular 296,65, grau de pureza mínimo de 98%, característica adicional reagente p.a., número de referência química cas 7783-35-9. entregue em frasco de 100 g. Atenção: observar a unidade de medida do SIPAC e colocar múltiplo de 100 g.</t>
  </si>
  <si>
    <t xml:space="preserve">376981</t>
  </si>
  <si>
    <t xml:space="preserve">https://sipac.sig.ufal.br/sipac/visualizaMaterial.do?popup=true&amp;id=8839&amp;acao=12</t>
  </si>
  <si>
    <t xml:space="preserve">SULFATO DE MERCÚRIO II ICO P.A.</t>
  </si>
  <si>
    <t xml:space="preserve">https://www.glasslab.com.br/reagentes-e-meios/sulfato-de-mercurio-ii-ico-pa-acs-100g</t>
  </si>
  <si>
    <t xml:space="preserve">https://www.didaticasp.com.br/produto/sulfato-de-mercurio-ii-pa-100g-cas-7783-35-9.html</t>
  </si>
  <si>
    <t xml:space="preserve">Não informada</t>
  </si>
  <si>
    <t xml:space="preserve">https://www.acsreagentes.com.br/sulfato-de-mercurio-ii-ico-98-pa-acs-25g-acs-cientifica?utm_source=Site&amp;utm_medium=GoogleMerchant&amp;utm_campaign=GoogleMerchant&amp;gclid=Cj0KCQjwtsCgBhDEARIsAE7RYh3xf6ArgjOXjOw5tIy7qUOvvEEtUyVbs4JnXimpO3K6Zt8SPpf50TIaAqwXEALw_wcB</t>
  </si>
  <si>
    <t xml:space="preserve">CATMAT -357866- Sulfato de potássio, peso molecular: 174,26 g/mol, aspecto físico: cristais brancos, inodoros, fórmula química: K2SO4, pureza mínima de 99%, característica adicional: reagente P.A. ACS, número de referência química: CAS 7778-80-5</t>
  </si>
  <si>
    <t xml:space="preserve">357866</t>
  </si>
  <si>
    <t xml:space="preserve">https://sipac.sig.ufal.br/sipac/visualizaMaterial.do?popup=true&amp;id=23683&amp;acao=12</t>
  </si>
  <si>
    <t xml:space="preserve">SULFATO DE POTÁSSIO P.A. ACS</t>
  </si>
  <si>
    <t xml:space="preserve">https://www.glasslab.com.br/reagentes-e-meios/sulfato-de-potassio-anidro-pa-acs-1kg?parceiro=6858&amp;gclid=Cj0KCQjwtsCgBhDEARIsAE7RYh3dVDr5T6Wgp-rVeCkZHwV9P14nLkyeWCBB04cEUxXCABFlJ52UZ4oaAm9SEALw_wcB</t>
  </si>
  <si>
    <t xml:space="preserve">https://www.lojasynth.com/reagentes-analiticosmaterias-primas/reagentes-analiticosmaterias-primas/sulfato-de-potassio-anidro-p-a-a-c-s?parceiro=2827&amp;variant_id=302661&amp;gclid=Cj0KCQjwtsCgBhDEARIsAE7RYh1etLoEpaYOPryWzAtUKjeLhWV86ttd-actq024wOKZW9YlAsOvEnwaAu6iEALw_wcB</t>
  </si>
  <si>
    <t xml:space="preserve">CATMAT -359287- Sulfato de prata, aspecto físico: cristal branco, inodoro, peso molecular: 311,83 g/mol, composição química: Ag2SO4, pureza mínima de 98%, característica adicional: reagente P.A., número de referência química: CAS 10294-26-5. Entregue em frascos com 25 g. Atenção: observar a unidade de medida do SIPAC e colocar múltiplo de 25 g.</t>
  </si>
  <si>
    <t xml:space="preserve">359287</t>
  </si>
  <si>
    <t xml:space="preserve">https://sipac.sig.ufal.br/sipac/visualizaMaterial.do?popup=true&amp;id=23682&amp;acao=12</t>
  </si>
  <si>
    <t xml:space="preserve">SULFATO DE PRATA P.A.</t>
  </si>
  <si>
    <t xml:space="preserve">https://www.acsreagentes.com.br/sulfato-de-prata-pa-acs-25g-acs-cientifica?gclid=Cj0KCQjwtsCgBhDEARIsAE7RYh0nXdF4rgLH3GeYLinf67vRqjo2CRTRUm2xsWGsNl00he1kYNLVX2YaAh7fEALw_wcB</t>
  </si>
  <si>
    <t xml:space="preserve">https://www.glasslab.com.br/reagentes-e-meios/sulfato-de-prata-pa-acs-25g?parceiro=6858&amp;gclid=Cj0KCQjwtsCgBhDEARIsAE7RYh38bApN5FpQ-31Duv2aeZoOEP4hoAZtj-gr9uPJ1nR9UcXJfO_XgTMaAp_GEALw_wcB</t>
  </si>
  <si>
    <t xml:space="preserve">https://www.lojasynth.com/reagentes-analiticosmaterias-primas/reagentes-analiticosmaterias-primas/sulfato-de-prata-p-a-a-c-s?parceiro=2827&amp;variant_id=301879&amp;gclid=Cj0KCQjwtsCgBhDEARIsAE7RYh0CUxq_lmrPkLTZBjE-WSxH4vev359MVEDG_RQYQ9soC42-yyWH3W0aAhNIEALw_wcB</t>
  </si>
  <si>
    <t xml:space="preserve">CATMAT -352843- SULFATO DE SÓDIO, ASPECTO FÍSICO FINOS GRÂNULOS BRANCOS CRISTALINOS, INODOROS, PESO MOLECULAR 142,04, FÓRMULA QUÍMICA NA2.SO4 ANIDRO, GRAU DE PUREZA PUREZA MÍNIMA DE 99%, CARACTERÍSTICA ADICIONAL REAGENTE P.A., NÚMERO DE REFERÊNCIA QUÍMICA CAS 7757-82-6. ENTREGUE EM FRASCOS DE 1000 G.</t>
  </si>
  <si>
    <t xml:space="preserve">352843</t>
  </si>
  <si>
    <t xml:space="preserve">https://sipac.sig.ufal.br/sipac/visualizaMaterial.do?popup=true&amp;id=1751&amp;acao=12</t>
  </si>
  <si>
    <t xml:space="preserve">SULFATO DE SÓDIO ANIDRO P.A.</t>
  </si>
  <si>
    <t xml:space="preserve">https://www.glasslab.com.br/reagentes-e-meios/sulfato-de-sodio-anidro-pa-acs-1kg?parceiro=6858&amp;srsltid=Ad5pg_G13FOl_3pJRuzitA_eeyw8Di4iNepa1gGirjEQTK4gouMukP2r6Po</t>
  </si>
  <si>
    <t xml:space="preserve">https://www.orionprodutoscientificos.com.br/sulfato-de-sodio-anidro-pa-acs-1kg-exodo-cientifica?utm_source=Site&amp;utm_medium=GoogleMerchant&amp;utm_campaign=GoogleMerchant</t>
  </si>
  <si>
    <t xml:space="preserve">https://www.didaticasp.com.br/produto/sulfato-de-sodio-anidro-pa-acs-1kg-cas-7757-82-6-ssp.html</t>
  </si>
  <si>
    <t xml:space="preserve">Não informado</t>
  </si>
  <si>
    <t xml:space="preserve">CATMAT - 346778 Sulfato de zinco, aspecto físico: pó ou cristal, incolor ou branco, fórmula química: ZnSO4.7H2O, massa molecular: 287,56 g/mol, pureza mínima de 99%, característica adicional: reagente P.A. ACS, número de referência química: CAS 7446-20-0, entregue em frascos de 500 g. Atenção: observar a unidade de medida do SIPAC e colocar múltiplo de 500 g.</t>
  </si>
  <si>
    <t xml:space="preserve">https://sipac.sig.ufal.br/sipac/visualizaMaterial.do?popup=true&amp;id=23662&amp;acao=12</t>
  </si>
  <si>
    <t xml:space="preserve">SULFATO DE ZINCO (7H2O) P.A. ACS</t>
  </si>
  <si>
    <t xml:space="preserve">https://www.lojasynth.com/reagentes-analiticosmaterias-primas/reagentes-analiticosmaterias-primas/sulfato-de-zinco-7h2o-p-a-a-c-s?variant_id=302639&amp;parceiro=2827</t>
  </si>
  <si>
    <t xml:space="preserve">https://www.labimport.com.br/reagentes/sulfato-de-zinco/sulfato-de-zinco-7h2o-heptahidratado-pa-500g-12349</t>
  </si>
  <si>
    <t xml:space="preserve">https://www.didaticasp.com.br/produto/sulfato-de-zinco-heptahidratado-pa-500g-cas-7446-20-0.html</t>
  </si>
  <si>
    <t xml:space="preserve">CATMAT -360413- Sulfeto De Amônio Aspecto Físico: Líquido Levemente Amarelado, De Odor Podre , Peso Molecular: 68,15 G/MOL, Fórmula Química: (NH4)2.S , Número De Referência Química: CAS 12135-76-1. Entregue em frasco de vidro ambar.</t>
  </si>
  <si>
    <t xml:space="preserve">https://sipac.sig.ufal.br/sipac/visualizaMaterial.do?popup=true&amp;id=30788&amp;acao=12</t>
  </si>
  <si>
    <t xml:space="preserve">SULFETO DE AMÔNIO SATURADO</t>
  </si>
  <si>
    <t xml:space="preserve">https://www.lojaprolab.com.br/sulfeto-de-amonio-saturado-80789?utm_source=google&amp;utm_medium=feed&amp;utm_campaign=shopping&amp;srsltid=Ad5pg_GX-DRPWdlPsSB5YXG3X1JF6K3PsM3J5IT5UyIPX6Ld6FLGeIRPhBU</t>
  </si>
  <si>
    <t xml:space="preserve">https://www.acsreagentes.com.br/sulfeto-de-amonio-saturado-1l-acs-cientifica?utm_source=Site&amp;utm_medium=GoogleMerchant&amp;utm_campaign=GoogleMerchant</t>
  </si>
  <si>
    <t xml:space="preserve">didaticasp.com.br/solucao-sulfeto-de-amonio-saturado-1l</t>
  </si>
  <si>
    <t xml:space="preserve">CATMAT -382558- Sulfeto de sódio, aspecto físico: cristal ou floco, branco a amarelado, odor podre, peso molecular: 240,18 g/mol, fórmula química: Na2S.9H2O (nona-hidratado), pureza mínima de 98%, característica adicional: reagente P.A., número de referência química: CAS 1313-84-4. Entregue em frasco de 100 g. Atenção: observar a unidade de medida do SIPAC e colocar múltiplo de 100 g.</t>
  </si>
  <si>
    <t xml:space="preserve">382558</t>
  </si>
  <si>
    <t xml:space="preserve">https://sipac.sig.ufal.br/sipac/visualizaMaterial.do?popup=true&amp;id=23672&amp;acao=12</t>
  </si>
  <si>
    <t xml:space="preserve">SULFETO DE SÓDIO (9H2O) P.A.</t>
  </si>
  <si>
    <t xml:space="preserve">https://www.glasslab.com.br/reagentes-e-meios/sulfeto-de-sodio-9h2o-pa-acs-500g</t>
  </si>
  <si>
    <t xml:space="preserve">CATMAT -360465- Sulfito de sódio, aspecto físico pó cristalino ou granulado branco, fórmula química Na2SO3 (anidro), peso molecular 126,04 g/mol, pureza mínima de 98%, característica adicional reagente P.A., número de referência química CAS 7757-83-7. Entregue em frascos de 500 g. Atenção: observar a unidade de medida do SIPAC e colocar múltiplo de 500 g.</t>
  </si>
  <si>
    <t xml:space="preserve">360465</t>
  </si>
  <si>
    <t xml:space="preserve">https://sipac.sig.ufal.br/sipac/visualizaMaterial.do?popup=true&amp;id=23676&amp;acao=12</t>
  </si>
  <si>
    <t xml:space="preserve">SULFITO DE SÓDIO ANIDRO P.A.</t>
  </si>
  <si>
    <t xml:space="preserve">https://www.lojaprolab.com.br/sulfito-de-sodio-anidro-pa-acs-79805</t>
  </si>
  <si>
    <t xml:space="preserve">https://www.biomedh.com.br/007161/sulfito-de-sodio-anidro-pa-acs-1000gr.html</t>
  </si>
  <si>
    <t xml:space="preserve">https://www.laderquimica.com.br/sulfito-de-sodio-anidro-pa-acs-1kg-neon</t>
  </si>
  <si>
    <t xml:space="preserve">CATMAT - 348685- Tartarato de sódio e potássio, peso molecular: 282,22 g/mol, aspecto físico: pó branco ou cristal incolor, inodoro, fórmula química: NaKC4H4O6.4H2O, pureza mínima de 99%, característica adicional: reagente P.A., número de referência química: CAS 6381-59-5. Entregue em frascos de 500 g. Atenção: observar a unidade de medida do SIPAC e colocar múltiplo de 500 g.</t>
  </si>
  <si>
    <t xml:space="preserve">348685</t>
  </si>
  <si>
    <t xml:space="preserve">https://sipac.sig.ufal.br/sipac/visualizaMaterial.do?popup=true&amp;id=23677&amp;acao=12</t>
  </si>
  <si>
    <t xml:space="preserve">TARTARATO DE SÓDIO E POTÁSSIO (4H2O) P.A.</t>
  </si>
  <si>
    <t xml:space="preserve">https://www.acsreagentes.com.br/tartarato-de-sodio-e-potassio-4h2o-pa-acs-1kg-acs-cientifica?utm_source=Site&amp;utm_medium=GoogleMerchant&amp;utm_campaign=GoogleMerchant&amp;gclid=Cj0KCQjwk7ugBhDIARIsAGuvgPa-OqRrSLNPu1zsejNHALyl9KD8Ls1xLN93YWuTxeihRM1i8HbsQuUaAvrlEALw_wcB</t>
  </si>
  <si>
    <t xml:space="preserve">https://www.lojasynth.com/reagentes-analiticosmaterias-primas/reagentes-analiticosmaterias-primas/tartarato-de-sodio-e-potassio-4h2o-p-a?parceiro=2827&amp;variant_id=301574</t>
  </si>
  <si>
    <t xml:space="preserve">Synt</t>
  </si>
  <si>
    <t xml:space="preserve">CATMAT -366478- Tetraborato de sódio, peso molecular: 381,37 g/mol, aspecto físico: pó branco, cristalino, inodoro, fórmula química: Na2B4O7.10H2O (deca-hidratado), pureza mínima de 99,5%, característica adicional: reagente P.A. ACS, número de referência química: CAS 1303-96-4. Entregue em frascos de 500 g. Atenção: observar a unidade de medida do SIPAC e colocar múltiplo de 500 g.
</t>
  </si>
  <si>
    <t xml:space="preserve">https://sipac.sig.ufal.br/sipac/visualizaMaterial.do?popup=true&amp;id=23671&amp;acao=12</t>
  </si>
  <si>
    <t xml:space="preserve">TETRABORATO DE SÓDIO (10H2O) P.A. ACS BORAX</t>
  </si>
  <si>
    <t xml:space="preserve">https://www.acsreagentes.com.br/tetraborato-de-sodio-10h2o-pa-borax-500g-acs-cientifica?utm_source=Site&amp;utm_medium=GoogleMerchant&amp;utm_campaign=GoogleMerchant</t>
  </si>
  <si>
    <t xml:space="preserve">https://www.glasslab.com.br/reagentes-e-meios/tetraborato-de-sodio-10h2o-borax-pa-1kg?parceiro=6858&amp;srsltid=Ad5pg_FP_ZkkbbGh4_eEiC8m6lidZ17Yp5k3a-Ar_mNkOQBEJt1MktBpRiI</t>
  </si>
  <si>
    <t xml:space="preserve">https://www.labimport.com.br/reagentes/tetraborato-de-sodio/tetraborato-de-sodio-10h2o-pa-borax-1kg-12365</t>
  </si>
  <si>
    <t xml:space="preserve">CATMAT -374920- Tetracloreto de carbono, aspecto físico líquido límpido, incolor, cheiro doce característico, peso molecular 153,82 g/mol, fórmula química CCl4, pureza mínima de 99,5%, característica adicional reagente P.A., número de referência química CAS 56-23-5.</t>
  </si>
  <si>
    <t xml:space="preserve">374920</t>
  </si>
  <si>
    <t xml:space="preserve">https://sipac.sig.ufal.br/sipac/visualizaMaterial.do?popup=true&amp;id=23679&amp;acao=12</t>
  </si>
  <si>
    <t xml:space="preserve">TETRACLORETO DE CARBONO P.A.</t>
  </si>
  <si>
    <t xml:space="preserve">https://www.acsreagentes.com.br/tetracloreto-de-carbono-pa-1l-acs-cientifica?utm_source=Site&amp;utm_medium=GoogleMerchant&amp;utm_campaign=GoogleMerchant</t>
  </si>
  <si>
    <t xml:space="preserve">CATMAT -382043- Timol, aspecto físico: pó cristalino incolor a esbranquiçado, fórmula química: C10H14O, peso molecular: 150,22 g/mol, pureza mínima de 99%, número de referência química: CAS 89-83-8. Entregue em frascos com 100 g. Atenção: observar a unidade de medida do SIPAC e colocar múltiplo de 100 g.</t>
  </si>
  <si>
    <t xml:space="preserve">382043</t>
  </si>
  <si>
    <t xml:space="preserve">https://sipac.sig.ufal.br/sipac/visualizaMaterial.do?popup=true&amp;id=24903&amp;acao=12</t>
  </si>
  <si>
    <t xml:space="preserve">TIMOL PURO</t>
  </si>
  <si>
    <t xml:space="preserve">https://www.acsreagentes.com.br/timol-puro-100g-acs-cientifica?utm_source=Site&amp;utm_medium=GoogleMerchant&amp;utm_campaign=GoogleMerchant</t>
  </si>
  <si>
    <t xml:space="preserve">https://www.lojanetlab.com.br/reagentes/pa/timol-puro</t>
  </si>
  <si>
    <t xml:space="preserve">https://www.didaticasp.com.br/timol-puro-100g</t>
  </si>
  <si>
    <t xml:space="preserve">CATMAT -371031- Tioacetamida (TAA), aspecto físico: cristal incolor a esbranquiçado, fórmula química:C2H5NS, peso molecular: 75,13 g/mol, pureza mínima de 99%, reagente P.A. ACS, número de referência química: CAS 62-55-5, entregue em frascos de 50 g. Atenção: observar a unidade de medida do SIPAC e colocar múltiplo de 50 g.</t>
  </si>
  <si>
    <t xml:space="preserve">371031</t>
  </si>
  <si>
    <t xml:space="preserve">https://sipac.sig.ufal.br/sipac/visualizaMaterial.do?popup=true&amp;id=23680&amp;acao=12</t>
  </si>
  <si>
    <t xml:space="preserve">TIOACETAMIDA (TAA) P.A. ACS	</t>
  </si>
  <si>
    <t xml:space="preserve">TIOACETAMIDA (TAA) P.A. ACS        </t>
  </si>
  <si>
    <t xml:space="preserve">https://www.acsreagentes.com.br/tioacetamida-pa-acs-25g-acs-cientifica?utm_source=Site&amp;utm_medium=GoogleMerchant&amp;utm_campaign=GoogleMerchant</t>
  </si>
  <si>
    <t xml:space="preserve">https://www.glasslab.com.br/reagentes-e-meios/tioacetamida-pa-acs-25g?parceiro=6858&amp;srsltid=Ad5pg_EDT4jzPtiec3mT4qRGz-ZGas9jGkMtz7bqsfCzTezwoAxp-0iKtlU</t>
  </si>
  <si>
    <t xml:space="preserve">https://www.orionprodutoscientificos.com.br/tioacetamida-p-a-acs-50-g-fabricante-neon?utm_source=Site&amp;utm_medium=GoogleMerchant&amp;utm_campaign=GoogleMerchant</t>
  </si>
  <si>
    <t xml:space="preserve">CATMAT -381272- Tiocianato de potássio, aspecto físico cristais incolores, inodoros, higroscópicos, composição KSCN, peso molecular 97,18 g/mol, pureza mínima de 98%, característica adicional reagente P.A., número de referência química: CAS 333-20-0, entregue em frascos de 500 g. Atenção: observar a unidade de medida do SIPAC e colocar múltiplo de 500 g.
</t>
  </si>
  <si>
    <t xml:space="preserve">381272</t>
  </si>
  <si>
    <t xml:space="preserve">https://sipac.sig.ufal.br/sipac/visualizaMaterial.do?popup=true&amp;id=23521&amp;acao=12</t>
  </si>
  <si>
    <t xml:space="preserve">TIOCIANATO DE POTÁSSIO P.A.</t>
  </si>
  <si>
    <t xml:space="preserve">https://www.lojasynth.com/reagentes-analiticosmaterias-primas/reagentes-analiticosmaterias-primas/tiocianato-de-potassio-p-a?parceiro=2827&amp;variant_id=302587&amp;gclid=Cj0KCQjwk7ugBhDIARIsAGuvgPZxrqR3IfuydiQsT7ExesdXJQCdKg1d5dxhSxCHFNUdPpzC2OWbgRwaApBLEALw_wcB</t>
  </si>
  <si>
    <t xml:space="preserve">https://www.acsreagentes.com.br/tiocianato-de-potassio-pa-acs-500g-acs-cientifica?utm_source=Site&amp;utm_medium=GoogleMerchant&amp;utm_campaign=GoogleMerchant</t>
  </si>
  <si>
    <t xml:space="preserve">ACS Cientifica</t>
  </si>
  <si>
    <t xml:space="preserve">https://www.orionprodutoscientificos.com.br/tiocianato-de-potassio-p-a-500-g-fabricante-neon-N02399?utm_source=Site&amp;utm_medium=GoogleMerchant&amp;utm_campaign=GoogleMerchant</t>
  </si>
  <si>
    <t xml:space="preserve">CATMAT - 366490 Tiossulfato de sódio, aspecto físico cristal incolor ou branco, inodoro, fórmula química Na2S2O3.5H2O, peso molecular 248,18 g/mol, pureza mínima de 99,5%, característica adicional reagente P.A. ACS, número de referência química CAS 10102-17-7. Entregue em frasco de 500 g. Atenção: observar a unidade de medida do SIPAC e colocar múltiplo de 500 g.</t>
  </si>
  <si>
    <t xml:space="preserve">https://sipac.sig.ufal.br/sipac/visualizaMaterial.do?popup=true&amp;id=25910&amp;acao=12</t>
  </si>
  <si>
    <t xml:space="preserve">TIOSSULFATO DE SÓDIO (5H2O) P.A. ACS</t>
  </si>
  <si>
    <t xml:space="preserve">https://www.laderquimica.com.br/tiossulfato-de-sodio-5h2o-pa-acs-1kg-dinamica?utm_source=Site&amp;utm_medium=GoogleMerchant&amp;utm_campaign=GoogleMerchant&amp;srsltid=Ad5pg_HoclfPUhkJE9eL22kM0gcAV4wBYDN0oRAEPe2cdRu_W92VvE4IWFA</t>
  </si>
  <si>
    <t xml:space="preserve">13/23/23</t>
  </si>
  <si>
    <t xml:space="preserve">https://www.orionprodutoscientificos.com.br/tiossulfato-de-sodio-5h2o-pa-1kg-exodo-cientifica?utm_source=Site&amp;utm_medium=GoogleMerchant&amp;utm_campaign=GoogleMerchant</t>
  </si>
  <si>
    <t xml:space="preserve">https://www.glasslab.com.br/reagentes-e-meios/tiossulfato-de-sodio-5h2o-pa-1kg?parceiro=6858&amp;srsltid=Ad5pg_HTXDsJ874S82IjlzbBX-7EajT3VLdmHmaVUXq-zMolwGtXljPpRIk</t>
  </si>
  <si>
    <t xml:space="preserve">CATMAT -380337- Tolueno, aspecto físico: líquido incolor, odor característico de benzeno, composição química: C6H5CH3, peso molecular: 92,14 g,mol, pureza mínima de 99,5%, característica adicional: reagente P.A., número de referência química: CAS 108-88-3. Entregue em frasco de vidro ambar.</t>
  </si>
  <si>
    <t xml:space="preserve">380337</t>
  </si>
  <si>
    <t xml:space="preserve">https://sipac.sig.ufal.br/sipac/visualizaMaterial.do?popup=true&amp;id=23503&amp;acao=12</t>
  </si>
  <si>
    <t xml:space="preserve">TOLUENO (TOLUOL) P.A.</t>
  </si>
  <si>
    <t xml:space="preserve">https://www.didaticasp.com.br/tolueno-toluol-pa-1l-pfssp</t>
  </si>
  <si>
    <t xml:space="preserve">https://www.glasslab.com.br/reagentes-e-meios/tolueno-toluol-pa-acs-1l</t>
  </si>
  <si>
    <t xml:space="preserve">CATMAT -374769- Trietilenoglicol, aspecto físico: líquido límpido, incolor, inodoro, peso molecular: 150,17 g/mol, fórmula química: C6H14O4, pureza mínima de 99%, número de referência química: CAS 112-27-6</t>
  </si>
  <si>
    <t xml:space="preserve">374769</t>
  </si>
  <si>
    <t xml:space="preserve">https://sipac.sig.ufal.br/sipac/visualizaMaterial.do?popup=true&amp;id=28218&amp;acao=12</t>
  </si>
  <si>
    <t xml:space="preserve">TRIETILENOGLICOL PURO</t>
  </si>
  <si>
    <t xml:space="preserve">https://www.acsreagentes.com.br/trietilenoglicol-puro-1l-acs-cientifica?utm_source=Site&amp;utm_medium=GoogleMerchant&amp;utm_campaign=GoogleMerchant</t>
  </si>
  <si>
    <t xml:space="preserve">https://www.glasslab.com.br/reagentes-e-meios/etileno-glicol-pa-1l?parceiro=6858&amp;srsltid=Ad5pg_EfBHxX9y_z6vMAI7vy_X0o22fSEMKDlC1ZUBY5f_6iUXdcCMj8mHA</t>
  </si>
  <si>
    <t xml:space="preserve">https://www.lablac.com.br/etilenoglicol-pa-1l?utm_source=Site&amp;utm_medium=GoogleMerchant&amp;utm_campaign=GoogleMerchant&amp;srsltid=Ad5pg_FVml0BeBfAnR5ZzVtAJSFQt_vySkU2mWkyrxVIrMD_Afy0LB9iRLo</t>
  </si>
  <si>
    <t xml:space="preserve">CATMAT - 378141 - Trifeniltetrazólio, aspecto físico: pó branco, levemente amarelado, fórmula química: C19H15ClN4 (trifenil tetrazólio cloreto 2,3,5), peso molecular: 334,81 g/mol, pureza mínima de 98%, número de referência química: CAS 298-96-4. Entregue em frascos com 10 g. Atenção: observar a unidade de medida do SIPAC e colocar múltiplo de 10 g.</t>
  </si>
  <si>
    <t xml:space="preserve">378141</t>
  </si>
  <si>
    <t xml:space="preserve">https://sipac.sig.ufal.br/sipac/visualizaMaterial.do?popup=true&amp;id=25735&amp;acao=12</t>
  </si>
  <si>
    <t xml:space="preserve">TRIFENIL TETRAZOLIO CLORETO 2,3,5 P.A.</t>
  </si>
  <si>
    <t xml:space="preserve">https://www.labimport.com.br/reagentes/trifenil/trifenil-tetrazolio-cloreto-2-3-5-ttc-pa-10g-12383</t>
  </si>
  <si>
    <t xml:space="preserve">https://www.acsreagentes.com.br/trifenil-tetrazolio-cloreto-235-ttc-pa-10g-acs-cientifica?utm_source=Site&amp;utm_medium=GoogleMerchant&amp;utm_campaign=GoogleMerchant</t>
  </si>
  <si>
    <t xml:space="preserve">https://www.orionprodutoscientificos.com.br/cloreto-de-235-trifenil-tetrazolio-10-g-fabricante-neon?utm_source=Site&amp;utm_medium=GoogleMerchant&amp;utm_campaign=GoogleMerchant</t>
  </si>
  <si>
    <t xml:space="preserve">TRIS ULTRA-PURO - FRASCO COM 500 GRAMAS.( P.M.121.14 / PUREZA&gt;=99,9% A 100% / PONTO DE FUSÃO:169 - 173ºC. TEMPERATURA DE ESTOCAGEM 15 A 30 ºC.) - TRIS ULTRA-PURO 500 GRAMAS
</t>
  </si>
  <si>
    <t xml:space="preserve">375118</t>
  </si>
  <si>
    <t xml:space="preserve">https://sipac.sig.ufal.br/sipac/visualizaMaterial.do?popup=true&amp;id=31092&amp;acao=12</t>
  </si>
  <si>
    <t xml:space="preserve">TRIS ULTRA-PURO FRASCO DE 500 G</t>
  </si>
  <si>
    <t xml:space="preserve">CATMAT -359223- Uréia, aspecto físico pó incolor a esbranquiçado, cristalino, peso molecular 60,06 g/mol, fórmula química CH4N2O, pureza mínima de 98%, característica adicional reagente P.A., número de referência química: CAS 57-13-6, entregue em frascos de 500 g. Atenção: observar a unidade de medida do SIPAC e colocar múltiplo de 500 g.</t>
  </si>
  <si>
    <t xml:space="preserve">359223</t>
  </si>
  <si>
    <t xml:space="preserve">https://sipac.sig.ufal.br/sipac/visualizaMaterial.do?popup=true&amp;id=23492&amp;acao=12</t>
  </si>
  <si>
    <t xml:space="preserve">URÉIA P.A.</t>
  </si>
  <si>
    <t xml:space="preserve">https://www.didaticasp.com.br/produto/ureia-pa-500g-cas-57-13-6.html</t>
  </si>
  <si>
    <t xml:space="preserve">https://www.orionprodutoscientificos.com.br/ureia-p-a-1000-g-fabricante-neon?utm_source=Site&amp;utm_medium=GoogleMerchant&amp;utm_campaign=GoogleMerchant</t>
  </si>
  <si>
    <t xml:space="preserve">https://www.orionprodutoscientificos.com.br/ureia-p-a-1000-g-fabricante-neon?utm_source=Site&amp;utm_medium=GoogleMerchant&amp;utm_campaign=GoogleMerchan</t>
  </si>
  <si>
    <t xml:space="preserve">CATMAT -327508- Corante, tipo: verde bromocresol, aspecto físico: pó, reagente P.A., CAS: 76-60-8, frasco de 5 g</t>
  </si>
  <si>
    <t xml:space="preserve">327508</t>
  </si>
  <si>
    <t xml:space="preserve">https://sipac.sig.ufal.br/sipac/visualizaMaterial.do?popup=true&amp;id=8202&amp;acao=12</t>
  </si>
  <si>
    <t xml:space="preserve">VERDE BROMOCRESOL P.A. FRASCO 5G</t>
  </si>
  <si>
    <t xml:space="preserve">https://www.acsreagentes.com.br/verde-bromocresol-pa-5g-acs-cientifica?utm_source=Site&amp;utm_medium=GoogleMerchant&amp;utm_campaign=GoogleMerchant&amp;gclid=Cj0KCQiAx6ugBhCcARIsAGNmMbioXTcga0gAlTSh1aM3EYNDedik0pHPrTHBzThS3zpaRcRryJXuRHIaAnqvEALw_wcB</t>
  </si>
  <si>
    <t xml:space="preserve">https://www.lojasynth.com/reagentes-analiticosmaterias-primas/reagentes-analiticosmaterias-primas/verde-bromocresol-p-a-a-c-s?parceiro=2827&amp;variant_id=301632&amp;gclid=Cj0KCQiAx6ugBhCcARIsAGNmMbh8TOmZsG5TsYWG5oMoQiaFqh_6mjQDNiQKrCgXNGlT6IwsRHHxSgAaAvXpEALw_wcB</t>
  </si>
  <si>
    <t xml:space="preserve">CATMAT -374994- Corante, aspecto físico: pó, tipo : vermelho de metila, P.A. ACS, número de referência química: CI 13020, frasco de 25 g.</t>
  </si>
  <si>
    <t xml:space="preserve">374994</t>
  </si>
  <si>
    <t xml:space="preserve">https://sipac.sig.ufal.br/sipac/visualizaMaterial.do?popup=true&amp;id=24837&amp;acao=12</t>
  </si>
  <si>
    <t xml:space="preserve">VERMELHO DE METILA P.A. ACS FRASCO 25 G</t>
  </si>
  <si>
    <t xml:space="preserve">https://www.labimport.com.br/reagentes/reagentes-e-solventes/vermelho-de-metila-pa-ci-13020-25g-12415</t>
  </si>
  <si>
    <t xml:space="preserve">https://perfyltech.mercadoshops.com.br/MLB-2770800982-vermelho-de-metila-pa-acs-25g-_JM?gclid=Cj0KCQiAx6ugBhCcARIsAGNmMbjV0vmmEHgI-kHDVMcHIr-hcdYZ0hD9WzcyY48cGF1yKANfOe2IT1oaAnT5EALw_wcB</t>
  </si>
  <si>
    <t xml:space="preserve">perfyltech</t>
  </si>
  <si>
    <t xml:space="preserve">https://www.acsreagentes.com.br/buscar?q=Vermelho+De+Metila+Pa+%28Ci.+13020%29+++25G+Acs+Cientifica</t>
  </si>
  <si>
    <t xml:space="preserve">SODA CAUSTICA</t>
  </si>
  <si>
    <t xml:space="preserve">376404</t>
  </si>
  <si>
    <t xml:space="preserve">RESINA EPÓXI COM ENDURECEDOR, FRASCOS COM 1KG DE CADA COMPONENTE.</t>
  </si>
  <si>
    <t xml:space="preserve">479327</t>
  </si>
  <si>
    <t xml:space="preserve">ACIDULANTE, TIPO GRANULADO, FUNÇÃO AUMENTO DO PH E ALCALINIDADE TOTAL, APLICAÇÃO TRATAMENTO ÁGUA DE PISCINA.</t>
  </si>
  <si>
    <t xml:space="preserve">393994</t>
  </si>
  <si>
    <t xml:space="preserve">CLARIFICANTE PARA PISCINA (FRASCO COM 1L)</t>
  </si>
  <si>
    <t xml:space="preserve">415362</t>
  </si>
  <si>
    <t xml:space="preserve">CLORO EM PASTILHA 200G, TRATAMENTO ÁGUA DE PISCINA - HIPOCLORITO DE CÁLCIO, ASPECTO FÍSICO: EM PASTILHA, FÓRMULA QUÍMICA: CA CL2O2 ANIDRO, PESO MOLECULAR: 142,98 G,MOL, TEOR DE PUREZA: PUREZA MÍNIMA DE 98% , TEOR MÍNIMO DE CLORO 65%, NÚMERO DE REFERÊNCIA QUÍMICA: CAS 7778-54-3 (PASTILHA DE 200G).</t>
  </si>
  <si>
    <t xml:space="preserve">391712</t>
  </si>
  <si>
    <t xml:space="preserve">ÁCIDO PARACÉTICO 5L. ÁCIDO PERACÉTICO, DOSAGEM:MÍNIMO DE 0,2%, FORMA FÍSICA:SOLUÇÃO AQUOSA</t>
  </si>
  <si>
    <t xml:space="preserve">348040</t>
  </si>
  <si>
    <t xml:space="preserve">DETERGENTE NEUTRO CONCENTRADO, GALÃO 5L, PRÓPRIO PARA LIMPEZA DE VIDRARIA. CARACTERÍSTICAS: SOLÚVEL EM ÁGUA, DENSIDADE DE 1.07 G/CM3 (20 °C), VALOR DE PH 7,5 (50 G/L, H2O, 20 °C), PONTO DE EBULIÇÃO 100 °C. ESPECIAL PARA MATERIAIS NOBRES COMO: MATERIAIS DE PRECISÃO, QUARTZO, VIDRARIA PARA BACTERIOLOGIA, METAL. VALIDADE MÍNIMA DE 2 ANOS APÓS A ENTREGA.</t>
  </si>
  <si>
    <t xml:space="preserve">150683</t>
  </si>
  <si>
    <t xml:space="preserve">ÁLCOOL ETÍLICO, TEOR ALCOÓLICO: 70% P,P (70 °GL), COMPOSIÇÃO BÁSICA: GLICERINADO, CARACTERÍSTICAS ADICIONAIS: COM BICO DOSADOR 5LITRO</t>
  </si>
  <si>
    <t xml:space="preserve">443454</t>
  </si>
  <si>
    <t xml:space="preserve">CATMAT -346185- Xileno, aspecto físico líquido límpido, incolor, inflamável, peso molecular 106,17, fórmula química C6H4(CH3)2 - mistura de isômeros orto, para e meta, pureza mínima de 98%, característica adicional reagente P.A. ACS, número de referência química CAS 1330-20-7.</t>
  </si>
  <si>
    <t xml:space="preserve">346185</t>
  </si>
  <si>
    <t xml:space="preserve">https://sipac.sig.ufal.br/sipac/visualizaMaterial.do?popup=true&amp;id=23269&amp;acao=12</t>
  </si>
  <si>
    <t xml:space="preserve">XILENO P.A. ACS</t>
  </si>
  <si>
    <t xml:space="preserve">https://www.glasslab.com.br/reagentes-e-meios/xilol-xileno-pa-acs-1l?parceiro=6858&amp;gclid=Cj0KCQjwk7ugBhDIARIsAGuvgPZXjVsrhe8MG8UlHMZSUv7NjBSPBiXeFPMnCqTPqAjCxJ7M5ZI-oK4aAlLtEALw_wcB</t>
  </si>
  <si>
    <t xml:space="preserve">Exod Cientifica</t>
  </si>
  <si>
    <t xml:space="preserve">https://www.acsreagentes.com.br/xilol-pa-acs-1l-acs-cientifica?utm_source=Site&amp;utm_medium=GoogleMerchant&amp;utm_campaign=GoogleMerchant</t>
  </si>
  <si>
    <t xml:space="preserve">https://www.didaticasp.com.br/xileno-xilol-pa-1l</t>
  </si>
  <si>
    <t xml:space="preserve">CATMAT -347685- Zinco, aspecto físico: grânulos branco-azulados ou cinza prata, inodoros, fórmula química: zn, peso molecular: 65,38 g,mol, grau de pureza: pureza mínima de 99,8%, característica adicional: reagente p.a., número de referência química: cas 7440-66-6. Entregue em frasco de 500 g. Atenção: observar a unidade de medida do SIPAC e colocar múltiplo de 500 g.</t>
  </si>
  <si>
    <t xml:space="preserve">347685</t>
  </si>
  <si>
    <t xml:space="preserve">https://sipac.sig.ufal.br/sipac/visualizaMaterial.do?popup=true&amp;id=23266&amp;acao=12</t>
  </si>
  <si>
    <t xml:space="preserve">ZINCO GRANULADO 99,8%</t>
  </si>
  <si>
    <t xml:space="preserve">https://www.glasslab.com.br/reagentes-e-meios/zinco-granulado-20-mesh-pa-500g?parceiro=6858&amp;gclid=EAIaIQobChMIm6bf18rR_QIVoEVIAB1BlwzkEAQYBCABEgIMsPD_BwE</t>
  </si>
  <si>
    <t xml:space="preserve">Glasslab Artigos Para Laboratorio LTDA</t>
  </si>
  <si>
    <t xml:space="preserve">https://www.didaticasp.com.br/produto/zinco-granulado-de-3-a-8mm-pa-1kg-cas-7440-66-6.html</t>
  </si>
  <si>
    <t xml:space="preserve">https://www.lojasynth.com/reagentes-analiticosmaterias-primas/reagentes-analiticosmaterias-primas/zinco-3-8mm-p-a-granalha</t>
  </si>
  <si>
    <t xml:space="preserve">FACULDADE DE LETRAS</t>
  </si>
  <si>
    <t xml:space="preserve">DESUMIDIFICADOR, CARACTERÍSTICAS ADICIONAIS: QUÍMICO, GRANULADO, NEUTRO, MATERIAL: A BASE DE SAL HIGROSCÓPICO</t>
  </si>
  <si>
    <t xml:space="preserve">LAboratório</t>
  </si>
  <si>
    <t xml:space="preserve">Silica gel</t>
  </si>
  <si>
    <t xml:space="preserve">398736</t>
  </si>
  <si>
    <t xml:space="preserve">SUM of QUANTIDADE SELECIONADA</t>
  </si>
  <si>
    <t xml:space="preserve">Total Resultado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</si>
</sst>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&quot;R$ &quot;#,##0.00"/>
    <numFmt numFmtId="166" formatCode="[$R$ -416]#,##0.00"/>
    <numFmt numFmtId="167" formatCode="DD/MM"/>
    <numFmt numFmtId="168" formatCode="General"/>
    <numFmt numFmtId="169" formatCode="DD/MM/YYYY"/>
    <numFmt numFmtId="170" formatCode="DD/MM/YY"/>
  </numFmts>
  <fonts count="26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0"/>
      <charset val="1"/>
    </font>
    <font>
      <sz val="11"/>
      <color rgb="FFFFFFFF"/>
      <name val="Calibri"/>
      <family val="0"/>
      <charset val="1"/>
    </font>
    <font>
      <sz val="11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u val="single"/>
      <sz val="11"/>
      <color rgb="FF0000FF"/>
      <name val="Calibri"/>
      <family val="0"/>
      <charset val="1"/>
    </font>
    <font>
      <u val="single"/>
      <sz val="11"/>
      <color rgb="FF0000FF"/>
      <name val="Cambria"/>
      <family val="0"/>
      <charset val="1"/>
    </font>
    <font>
      <u val="single"/>
      <sz val="11"/>
      <color rgb="FF000000"/>
      <name val="Calibri"/>
      <family val="0"/>
      <charset val="1"/>
    </font>
    <font>
      <sz val="11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u val="single"/>
      <sz val="11"/>
      <color rgb="FF000000"/>
      <name val="Cambria"/>
      <family val="0"/>
      <charset val="1"/>
    </font>
    <font>
      <sz val="11"/>
      <color rgb="FF000000"/>
      <name val="&quot;Arial&quot;"/>
      <family val="0"/>
      <charset val="1"/>
    </font>
    <font>
      <sz val="11"/>
      <color rgb="FF454545"/>
      <name val="&quot;Open Sans&quot;"/>
      <family val="0"/>
      <charset val="1"/>
    </font>
    <font>
      <sz val="11"/>
      <color rgb="FF000000"/>
      <name val="&quot;Google Sans&quot;"/>
      <family val="0"/>
      <charset val="1"/>
    </font>
    <font>
      <sz val="11"/>
      <color rgb="FF000000"/>
      <name val="Montserrat"/>
      <family val="0"/>
      <charset val="1"/>
    </font>
    <font>
      <sz val="11"/>
      <color rgb="FF2D2D2D"/>
      <name val="Arial"/>
      <family val="0"/>
      <charset val="1"/>
    </font>
    <font>
      <u val="single"/>
      <sz val="11"/>
      <color rgb="FF0000FF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b val="true"/>
      <u val="single"/>
      <sz val="11"/>
      <color rgb="FF000000"/>
      <name val="Calibri"/>
      <family val="0"/>
      <charset val="1"/>
    </font>
    <font>
      <u val="single"/>
      <sz val="11"/>
      <color rgb="FF434343"/>
      <name val="Tahoma"/>
      <family val="0"/>
      <charset val="1"/>
    </font>
    <font>
      <sz val="11"/>
      <color rgb="FF393939"/>
      <name val="Arial"/>
      <family val="0"/>
      <charset val="1"/>
    </font>
    <font>
      <sz val="11"/>
      <color rgb="FF000000"/>
      <name val="&quot;Open Sans&quot;"/>
      <family val="0"/>
      <charset val="1"/>
    </font>
    <font>
      <sz val="11"/>
      <color rgb="FF4D5156"/>
      <name val="Arial"/>
      <family val="0"/>
      <charset val="1"/>
    </font>
  </fonts>
  <fills count="13">
    <fill>
      <patternFill patternType="none"/>
    </fill>
    <fill>
      <patternFill patternType="gray125"/>
    </fill>
    <fill>
      <patternFill patternType="solid">
        <fgColor rgb="FF8BC34A"/>
        <bgColor rgb="FF969696"/>
      </patternFill>
    </fill>
    <fill>
      <patternFill patternType="solid">
        <fgColor rgb="FFFFE5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9FC5E8"/>
        <bgColor rgb="FFC0C0C0"/>
      </patternFill>
    </fill>
    <fill>
      <patternFill patternType="solid">
        <fgColor rgb="FFFFFFFF"/>
        <bgColor rgb="FFF7F7F7"/>
      </patternFill>
    </fill>
    <fill>
      <patternFill patternType="solid">
        <fgColor rgb="FFEEF7E3"/>
        <bgColor rgb="FFF7F7F7"/>
      </patternFill>
    </fill>
    <fill>
      <patternFill patternType="solid">
        <fgColor rgb="FFF7F7F7"/>
        <bgColor rgb="FFFFFFFF"/>
      </patternFill>
    </fill>
    <fill>
      <patternFill patternType="solid">
        <fgColor rgb="FFFF9900"/>
        <bgColor rgb="FFFFCC00"/>
      </patternFill>
    </fill>
    <fill>
      <patternFill patternType="solid">
        <fgColor rgb="FFCFE2F3"/>
        <bgColor rgb="FFB7E1CD"/>
      </patternFill>
    </fill>
    <fill>
      <patternFill patternType="solid">
        <fgColor rgb="FF00FF00"/>
        <bgColor rgb="FF33CC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6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7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7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7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7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7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7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6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6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6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8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8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8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8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8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8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8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8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6" fillId="8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8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8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6" fillId="8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8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6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8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7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6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8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7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8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8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8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7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7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7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4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6" fillId="8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1" fillId="8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6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17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7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11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8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6" fillId="8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4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1" fillId="7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8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6" fillId="7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6" fillId="7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70" fontId="6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11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7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8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1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1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1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1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1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1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1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1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1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6" fillId="1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1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1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6" fillId="1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6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8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4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5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6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7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1" fillId="8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4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6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2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6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2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6" fillId="8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3" fillId="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6" fillId="8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3" fillId="11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6" fillId="11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4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4" fillId="7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5" fillId="5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5" fillId="7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2" fillId="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1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1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1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1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1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1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8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8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8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" xfId="23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7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9" xfId="24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10" xfId="24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11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anto da tabela dinâmica" xfId="20"/>
    <cellStyle name="Valor da tabela dinâmica" xfId="21"/>
    <cellStyle name="Campo da tabela dinâmica" xfId="22"/>
    <cellStyle name="Categoria da tabela dinâmica" xfId="23"/>
    <cellStyle name="Título da tabela dinâmica" xfId="24"/>
    <cellStyle name="Resultado da tabela dinâmica" xfId="25"/>
  </cellStyles>
  <dxfs count="1">
    <dxf>
      <fill>
        <patternFill>
          <bgColor rgb="FFB7E1CD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F7E3"/>
      <rgbColor rgb="FFF7F7F7"/>
      <rgbColor rgb="FF660066"/>
      <rgbColor rgb="FFFF8080"/>
      <rgbColor rgb="FF0066CC"/>
      <rgbColor rgb="FFCFE2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FC5E8"/>
      <rgbColor rgb="FFFF99CC"/>
      <rgbColor rgb="FFCC99FF"/>
      <rgbColor rgb="FFFFE599"/>
      <rgbColor rgb="FF3366FF"/>
      <rgbColor rgb="FF33CCCC"/>
      <rgbColor rgb="FF8BC34A"/>
      <rgbColor rgb="FFFFCC00"/>
      <rgbColor rgb="FFFF9900"/>
      <rgbColor rgb="FFFF6600"/>
      <rgbColor rgb="FF4D5156"/>
      <rgbColor rgb="FF969696"/>
      <rgbColor rgb="FF454545"/>
      <rgbColor rgb="FF339966"/>
      <rgbColor rgb="FF003300"/>
      <rgbColor rgb="FF393939"/>
      <rgbColor rgb="FF993300"/>
      <rgbColor rgb="FF993366"/>
      <rgbColor rgb="FF434343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242" createdVersion="3">
  <cacheSource type="worksheet">
    <worksheetSource ref="A1:I243" sheet="REAGENTES, SOLVENTES E MEIOS DE"/>
  </cacheSource>
  <cacheFields count="9">
    <cacheField name="UNIDADE" numFmtId="0">
      <sharedItems count="21">
        <s v="AGROECOLOGIA/CECA"/>
        <s v="AGRONOMIA/ARAPIRACA"/>
        <s v="AGRONOMIA/CECA"/>
        <s v="BIOLOGIA/PENEDO"/>
        <s v="CAMPUS SERTÃO"/>
        <s v="CENTRO DE TECNOLOGIA"/>
        <s v="ENFERMAGEM/ARAPIRACA"/>
        <s v="ENGENHARIA DE PESCA/PENEDO"/>
        <s v="ENGENHARIA DE PRODUÇÃO/PENEDO"/>
        <s v="ENGENHARIA FLORESTAL/CECA"/>
        <s v="FACULDADE DE MEDICINA"/>
        <s v="FÍSICA/ARAPIRACA"/>
        <s v="GEINFRA/ARAPIRACA"/>
        <s v="HOSPITAL VETERINÁRIO/CECA"/>
        <s v="INSTITUTO DE QUÍMICA E BIOTECNOLOGIA"/>
        <s v="MEDICINA/ARAPIRACA"/>
        <s v="MHN/PROEX"/>
        <s v="QUÍMICA E QUÍMICA EAD/ARAPIRACA"/>
        <s v="U.E. VIÇOSA/FAZENDA/CECA"/>
        <s v="ZOOTECNIA CECA"/>
        <s v="ZOOTECNIA/ARAPIRACA"/>
      </sharedItems>
    </cacheField>
    <cacheField name="NECESSIDADE" numFmtId="0">
      <sharedItems count="241" longText="1">
        <s v=" CATMAT -345770- Sulfato de cobre II, composição química CuSO4.5H2O, aspecto físico fino cristal azul, peso da molécula 249,68 g/mol, pureza mínima de 99%, característica adicional reagente P.A., número de referência química CAS 7758-99-8. fornecimento em frasco de 500 g. Atenção: observar a unidade de medida do SIPAC e colocar múltiplo de 500 g."/>
        <s v=" CATMAT -389270- Ácido propiônico, peso molecular 74,08 g/mol, aspecto físico líquido límpido, incolor, fórmula química C3H6O2, pureza mínima de 99%, característica adicional reagente P.A., número de referência química: CAS 79-09-4. Entregue em frasco de vidro ambar. "/>
        <s v="ÁCIDO PARACÉTICO 5L. ÁCIDO PERACÉTICO, DOSAGEM:MÍNIMO DE 0,2%, FORMA FÍSICA:SOLUÇÃO AQUOSA"/>
        <s v="ACIDULANTE, TIPO GRANULADO, FUNÇÃO AUMENTO DO PH E ALCALINIDADE TOTAL, APLICAÇÃO TRATAMENTO ÁGUA DE PISCINA."/>
        <s v="AGAROSE, ASPECTO FÍSICO: PÓ, TIPO: DE BAIXO PONTO DE FUSÃO, CARACTERÍSTICAS ADICIONAIS: LIVRE DE DNASE E RNASE, RESISTÊNCIA: MAIOR OU IGUAL A 200 G,CM² (GEL A 1%) - (IDEAL PARA ROTINAS LABORATORIAIS DE ANALISES DE ÁCIDOS NUCLEICOS EM ELETROFORESE DE GEL. ADEQUADO PARA ROTINAS DE ELETROFORESE DE FRAGMENTOS DE ÁCIDO NUCLEICO ENTRE 500-23.000PB). TEMPERATURA DE GELIFICAÇÃO 36ºC +/-1.5/ LIVRE DE DNASE E RNASE. TEMPERATURA DE ESTOCAGEM 18 - 26ºC. FRASCO COM 500 GRAMAS"/>
        <s v="CATMAT - 326284 Descrição: Meio de cultura, tipo: ágar macconkey, apresentação: pó. Frasco com 500 G"/>
        <s v="CATMAT - 326814 Descrição: Meio de cultura, tipo: ágar lisina ferro, apresentação: pó, frasco com 500 g"/>
        <s v="CATMAT - 329774 DESCRIÇÃO: CORANTE, TIPO: AZUL DE METILENO, ASPECTO FÍSICO: LÍQUIDO, CARACTERÍSTICAS ADICIONAIS: CI 52015, FRASCO COM 1000 ML"/>
        <s v="CATMAT - 346522 - DICLOROMETANO HPLC- DICLOROMETANO, ASPECTO FÍSICO LÍQUIDO CLARO, INCOLOR, FÓRMULA QUÍMICA CH2CL2, MAS SA MOLECULAR 84,93, GRAU DE PUREZA MÍNIMA DE 99,9%, CARACTERÍSTICA ADICIONAL REAGENTE GRAU HPLC, CAS 75-09-2. ENTREGUE EM FRASCO COM 1 L."/>
        <s v="CATMAT - 346778 Sulfato de zinco, aspecto físico: pó ou cristal, incolor ou branco, fórmula química: ZnSO4.7H2O, massa molecular: 287,56 g/mol, pureza mínima de 99%, característica adicional: reagente P.A. ACS, número de referência química: CAS 7446-20-0, entregue em frascos de 500 g. Atenção: observar a unidade de medida do SIPAC e colocar múltiplo de 500 g."/>
        <s v="CATMAT - 347156 - Ácido oxálico, aspecto físico: cristal ou pó branco cristalino higroscópico, peso molecular: 126,07 g/mol, fórmula química: C2H2O4.2H2O, pureza mínima de 99,5%, característica adicional: reagente P.A. ACS, número de referência química: CAS 6153-56-6, entregue em frasco com 500 g. Atenção: observar a unidade de medida do SIPAC e colocar múltiplo de 500 g."/>
        <s v="CATMAT - 347797 - Hidróxido de potássio, aspecto físico: escama ou lentilha branca, inodora, higroscópica, peso molecular: 56,11 g/mol, fórmula química: KOH, teor mínimo de 85%, característica adicional: reagente P.A., número de referência química: CAS 1310-58-3"/>
        <s v="CATMAT - 348266 - ÁLCOOL METÍLICO, ASPECTO FÍSICO: LÍQUIDO LÍMPIDO, INCOLOR, ODOR CARACTERÍSTICO, FÓRMULA QUÍMICA: CH3OH, PESO MOLECULAR: 32,04 G,MOL, GRAU DE PUREZA: PUREZA MÍNIMA DE 99,8%, CARACTERÍSTICA ADICIONAL: REAGENTE P.A. ACS, NÚMERO DE REFERÊNCIA QUÍMICA: CAS 67-56-1"/>
        <s v="CATMAT - 348267 - ÁLCOOL METÍLICO, ASPECTO FÍSICO LÍQUIDO LÍMPIDO, INCOLOR, ODOR CARACTERÍSTICO, FÓRMULA QUÍMICA CH3OH, PESO MOLECULAR 32,04, GRAU DE PUREZA MÍNIMA DE 99,5%, CARACTERÍSTICAS ADICIONAL REAGENTE PARA UV HPLC, NÚMERO DE REFERÊNCIA QUÍMICA CAS 67-56-1"/>
        <s v="CATMAT - 348685- Tartarato de sódio e potássio, peso molecular: 282,22 g/mol, aspecto físico: pó branco ou cristal incolor, inodoro, fórmula química: NaKC4H4O6.4H2O, pureza mínima de 99%, característica adicional: reagente P.A., número de referência química: CAS 6381-59-5. Entregue em frascos de 500 g. Atenção: observar a unidade de medida do SIPAC e colocar múltiplo de 500 g."/>
        <s v="CATMAT - 349846 - Enxofre, aspecto físico: pó fino amarelo, fórmula química: S, peso molecular: 32,07 g/mol, pureza mínima de 99,5%, número de referência química: CAS 7704-34-9, entregue em frasco de 500 g. Atenção: observar a unidade de medida do SIPAC e colocar múltiplo de 500 g."/>
        <s v="CATMAT - 352687 - ÁCIDO FLUORÍDRICO, ASPECTO FÍSICO: LÍQUIDO INCOLOR, ODOR ÁCIDO, PESO MOLECULAR: 20,01 G,MOL, FÓRMULA QUÍMICA: HF, TEOR DE PUREZA: TEOR MÍNIMO DE 40%, CARACTERÍSTICA ADICIONAL: REAGENTE P.A., NÚMERO DE REFERÊNCIA QUÍMICA: CAS 7664-39-3"/>
        <s v="CATMAT - 352747 - Fosfato de cálcio, aspecto físico: pó branco, fórmula química: cahpo4 (bibásico anidro), peso molecular: 136,06 g,mol, teor de pureza: pureza mínima de 98%, característica adicional: reagente P.A., número de referência química: cas 7757-93-9. Entregue em frasco com 500 g. Atenção: observar a unidade de medida do SIPAC e colocar múltiplo de 500 g.&#10;"/>
        <s v="CATMAT - 352755 - Fosfato de sódio, aspecto físico: pó cristalino branco, fórmula química: Na3PO4.12H2O (trissódico dodeca-hidratado), massa molecular: 380,12 g/mol, pureza mínima de 98%, característica adicional: reagente P.A., número de referência química: CAS 10101-89-0."/>
        <s v="CATMAT - 352777 - CLORETO DE POTÁSSIO, ASPECTO FÍSICO: PÓ OU CRISTAL BRANCO, INODORO, FÓRMULA QUÍMICA: KCL, MASSA MOLECULAR: 74,55 G/MOL, PUREZA MÍNIMA DE 99%, CARACTERÍSTICA ADICIONAL: REAGENTE P.A., NÚMERO DE REFERÊNCIA QUÍMICA: CAS 7447-40-7. ENTREGUE EM FRASCO COM 500 G. ATENÇÃO: OBSERVAR A UNIDADE DE MEDIDA DO SIPAC E COLOCAR MÚLTIPLO DE 500 G."/>
        <s v="CATMAT - 352959 - Cloreto de lítio, composição química: LiCl, aspecto físico: pó branco, inodoro, peso molecular: 42,39 g/mol, pureza mínima de 99%, característica adicional: reagente P.A. ACS, número de referência química: CAS 7447-41-8, entregue em frasco com 250 g. Atenção: observar a unidade de medida do SIPAC e colocar múltiplo de 250 g."/>
        <s v="CATMAT - 353071 - Iodeto de potássio, aspecto físico: pó branco, cristalino, inodoro, fórmula química: KI, peso molecular: 166,01 g/mol, pureza mínima de 99%, característica adicional: reagente P.A., número de referência química: CAS 7681-11-0. entregue em frasco de 100 g. Atenção: observar a unidade de medida do SIPAC e colocar múltiplo de 100 g.&#10;"/>
        <s v="CATMAT - 353821 - Acetato de cálcio, composição química C4H6CaO4.H2O, aspecto físico pó branco cristalino, peso molecular 176,18 g/mol, pureza mínima de 99%, característica adicional reagente P.A., número de referência química: cas 5743-26-0. Fornecimento em frasco de 1000 g. Atenção: observar a unidade de medida do SIPAC e colocar múltiplo de 1000 g."/>
        <s v="CATMAT - 354580 - Hexano, aspecto físico: líquido transparente, peso molecular: 86,18 g/mol, composição química: C6H14 (n-hexano), pureza mínima de 95%, característica adicional: reagente P.A. ACS, número de referência química: CAS 110-54-3"/>
        <s v="CATMAT - 355207 - HIDRÓXIDO DE SÓDIO, ASPECTO FÍSICO EM MICROPÉROLAS ESBRANQUIÇADAS, PESO MOLECULAR 40 G/MOL, FÓRMULA QUÍMICA NAOH, PUREZA MÍNIMA DE 97%, CARACTERÍSTICA ADICIONAL REAGENTE P.A., NÚMERO DE REFERÊNCIA QUÍMICA CAS 1310-73-2, ENTREGUE EM FRASCO COM 1000 G. ATENÇÃO: OBSERVAR A UNIDADE DE MEDIDA DO SIPAC E COLOCAR MÚLTIPLO DE 1000 G."/>
        <s v="CATMAT - 357239 - Álcool etílico, aspecto físico: líquido límpido, incolor, volátil, teor alcoólico: mínimo de 99,5°GL, fórmula química: C2H5OH, peso molecular: 46,07 g/mol, característica adicional: absoluto, reagente P.A. ACS, número de referência química: CAS 64-17-5."/>
        <s v="CATMAT - 359248 - Carbonato de magnésio, aspecto físico: pó branco cristalino, inodoro, fórmula química: MgCO3 anidro, peso molecular: 84,31 g/mol, teor mínimo de Mg 40% (como MgO) base característica adicional: reagente P.A., número de referência química: CAS 39409-82-0, entregue em frasco com 250 g. Atenção: observar a unidade de medida do SIPAC e colocar múltiplo de 250 g.&#10;"/>
        <s v="CATMAT - 359282- Sulfato de alumínio, aspecto físico: cristal incolor, inodoro, fórmula química: Al2(SO4)3.(14-18)H2O (octadeca-hidratado), pureza mínima de 98%, característica adicional: reagente P.A., Fornecimento em Frasco de 500 g. Atenção: observar a unidade de medida do SIPAC e colocar múltiplo de 500 g."/>
        <s v="CATMAT - 366490 Tiossulfato de sódio, aspecto físico cristal incolor ou branco, inodoro, fórmula química Na2S2O3.5H2O, peso molecular 248,18 g/mol, pureza mínima de 99,5%, característica adicional reagente P.A. ACS, número de referência química CAS 10102-17-7. Entregue em frasco de 500 g. Atenção: observar a unidade de medida do SIPAC e colocar múltiplo de 500 g."/>
        <s v="CATMAT - 374793 - Magnésio, aspecto físico: raspas prateadas, fórmula química: mg, peso molecular: 24,31 g,mol, grau de pureza: pureza mínima de 99,5%, número de referência química: CAS 7439-95-4, entregue em frasco com 25g. Atenção: observar a unidade de medida do SIPAC e colocar múltiplo de 25g."/>
        <s v="CATMAT - 375316 - Carbonato de amônio, aspecto físico cristal incolor ou pó branco, odor característico, peso molecular 96,09 g/mol, fórmula química (NH4)2CO3, (teor mínimo de 30% de amônia), característica adicional reagente P.A., número de referência química CAS 506-87-6,entregue em frasco com 500 g. Atenção: observar a unidade de medida do SIPAC e colocar múltiplo de 500 g.&#10;"/>
        <s v="CATMAT - 378141 - Trifeniltetrazólio, aspecto físico: pó branco, levemente amarelado, fórmula química: C19H15ClN4 (trifenil tetrazólio cloreto 2,3,5), peso molecular: 334,81 g/mol, pureza mínima de 98%, número de referência química: CAS 298-96-4. Entregue em frascos com 10 g. Atenção: observar a unidade de medida do SIPAC e colocar múltiplo de 10 g."/>
        <s v="CATMAT - 380787 - Acetato de etila, aspecto físico líquido incolor, límpido, inflamável, pureza mínima de 99,5%, composição química CH3CO2C2H5, peso molecular 88,11 g/mol, característica adicional reagente P.A. ACS, número de referência química CAS 141-78-6."/>
        <s v="CATMAT - 391953 - Ácido etilenodiaminotetracético (edta), aspecto físico: pó branco cristalino, peso molecular: 292,24 g/mol, fórmula química: C10H16N2O8 (ácido, anidro), pureza mínima de 99%, característica adicional: reagente P.A., número de referência química: CAS 60-00-4. Fornecimento em Frasco de 500 g. Atenção: observar a unidade de medida do SIPAC e colocar múltiplo de 500 g."/>
        <s v="CATMAT - 405927 Descrição: Meio de cultura., tipo: ágar bile esculina, aspecto físico: pó. Frasco com 500 G"/>
        <s v="CATMAT - 410732 - Fosfato de sódio, aspecto físico: grânulos brancos cristalinos, fórmula química: NaH2PO4.H2O (monobásico, mono-hidratado), massa molecular: 137,99 g/mol, grau de pureza: pureza mínima de 98%, característica adicional: reagente P.A. ACS, número de referência química: CAS 10049-21-5. Entregue em frasco com 500 g. Atenção: observar a unidade de medida do SIPAC e colocar múltiplo de 500 g."/>
        <s v="CATMAT - 412736 - Ácido tricloroacético, aspecto físico: cristais brancos, fórmula química: CCl3COOH, massa molecular: 163,39 g/mol, pureza mínima de 99%, característica adicional: reagente P.A. ACS, número de referência química: CAS 76-03-9, entregue em frasco de 500 g. Atenção: observar a unidade de medida do SIPAC e colocar múltiplo de 500 g."/>
        <s v="CATMAT - 415455 - Caseína, aspecto físico: pó branco, inodoro, reagente P.A. número de referência química : CAS 9000-71-9. entregue em frasco com 500 g. Atenção: observar a unidade de medida do SIPAC e colocar múltiplo de 500 g.&#10;"/>
        <s v="CATMAT - 416321 - FENOL, ASPECTO FÍSICO: CRISTAL INCOLOR, ALTAMENTE HIGROSCÓPICO, FÓRMULA QUÍMICA: C6H5OH, PESO MOLECULAR: 94,11 G/MOL, PUREZA MÍNIMA DE 99 %, CARACTERÍSTICA ADICIONAL: REAGENTE P.A. ACS, NÚMERO DE REFERÊNCIA QUÍMICA: CAS 108-95-2. ENTREGUE EM FRASCO COM 500 G. ATENÇÃO: OBSERVAR A UNIDADE DE MEDIDA DO SIPAC E COLOCAR MÚLTIPLO DE 500 G."/>
        <s v="CATMAT - 432146 - Amido, aspecto físico: pó fino branco a esbranquiçado, inodoro, característica adicional: reagente P.A. ACS, número de referência química: CAS 9005-84-9, entregue em frasco com 500 g. Atenção: observar a unidade de medida do SIPAC e colocar múltiplo de 500 g."/>
        <s v="CATMAT - 444849 - ÁLCOOL ETÍLICO, ASPECTO FÍSICO: LÍQUIDO, FÓRMULA QUÍMICA: C2H6O, PESO MOLECULAR: 46,07 G,MOL, GRAU DE PUREZA: PUREZA MÍNIMA DE 96%, NÚMERO DE REFERÊNCIA QUÍMICA: CAS 64-17-5L, NO MOMENTO DA REQUISITAÇÃO O REQUISITANTE DEVERÁ INFORMAR SE SERÁ ENTREGUE EM GARRAFA DE 1 L OU GALÃO DE 5 L."/>
        <s v="CATMAT - 456251 - Éter dietílico, aspecto físico: líquido, pureza mínima de 99%, peso molecular: 74,12 g/mol, característica adicional: reagente P.A. ACS, número de referência química: CAS 60-29-7."/>
        <s v="CATMAT -14290- Naftilamina, fórmula química: C10H9N -(alfa-naftilamina ou 1-naftilamina), aspecto físico: cristal incolor, odor de amônia, peso molecular: 143,19 g/mol, pureza mínima de 99%, reagente P.A., número de referência química: CAS 134-32-7, fornecimento em frasco de 100 g. Atenção: observar a unidade de medida do SIPAC e colocar múltiplo de 100 g."/>
        <s v="CATMAT -234417- SOLUÇÃO TAMPÃO, LEITURA PH 7,0, APLICAÇÃO CALIBRAGEM DE PEAGÔMETRO. FRASCO COM 500 ML"/>
        <s v="CATMAT -289046- Solução tampão, leitura pH 3,0, aplicação calibragem de peagômetro, frasco com 500 mL."/>
        <s v="CATMAT -289050- SOLUÇÃO TAMPÃO, LEITURA PH 10, APLICAÇÃO CALIBRAGEM DE PEAGÂMETRO. EM FRASCO COM 500 ML"/>
        <s v="CATMAT -302856- RNASEZAP - AGENTE DE LIMPEZA PARA REMOÇÃO DE RNASES DE OBJETOS DE VIDRO, SUPERFÍCIES PLÁSTICAS, BANCADAS E PIPETAS. ARMAZENAMENTO EM TEMPERATURA AMBIENTE. (FRASCO COM 500ML)"/>
        <s v="CATMAT -317830- SÍLICA GEL, COMPOSIÇÃO: SIO2, COR: AZUL, ASPECTO FÍSICO: GRANULADO, APLICAÇÃO: DESUMIDIFICAR E DESIDRATAR GASES, CARACTERÍSTICAS ADICIONAIS: INDICADOR DE UMIDADE, TAMANHO GRÃO: 4 A 8 MM, FRASCO COM 500 G"/>
        <s v="CATMAT -326282-Ágar Mueller Hinton, Meio de cultura, apresentação: pó Frasco 500 g"/>
        <s v="CATMAT -326286- Meio de cultura, tipo: ágar base Columbia, apresentação: pó, frasco 500 g."/>
        <s v="CATMAT -326297- Meio de cultura, tipo ágar Sabouraud dextrose 4%, apresentação pó, frasco 500 g."/>
        <s v="CATMAT -326299- Meio de cultura, tipo: ágar sangue, apresentação: pó, frasco 500 g"/>
        <s v="CATMAT -326303- Meio de cultura, tipo: ágar tsi, apresentação: pó, frasco 500 g"/>
        <s v="CATMAT -326310- Meio de cultura, tipo: caldo tioglicolato, apresentação: pó, com indicador rezasurina, frasco 500 g."/>
        <s v="CATMAT -326812- Meio de cultura, tipo: ágar sim, apresentação: pó, frasco 500 g"/>
        <s v="CATMAT -326867- Meio de cultura, tipo: ágar ureia de christensen, apresentação: pó, frasco 500 g"/>
        <s v="CATMAT -326882- Caldo cérebro e coração (BRAIN HEART INFUSION BHI) Meio de cultura, apresentação: pó, Frasco com 500 g"/>
        <s v="CATMAT -327212- Corante, tipo: lugol forte, aspecto físico: líquido, características adicionais: solução a 5% é composta de iodo a 5% m/v (50 g/L) e iodeto de potássio a 10% m/v (100 g/L). Frasco com 500 mL."/>
        <s v="CATMAT -327370- CORANTE, TIPO: ALARANJADO DE METILA, ASPECTO FÍSICO: PÓ, CARACTERÍSTICAS ADICIONAIS: CI 13025. FRASCO COM 25G"/>
        <s v="CATMAT -327373- CORANTE Azul De Cresil Brilhante , Características Adicionais: CI 51010. Entregue em frasco com 100 mL."/>
        <s v="CATMAT -327506- CORANTE, TIPO: ALIZARINA, ASPECTO FÍSICO: PÓ, CARACTERÍSTICAS ADICIONAIS: CI 58000, P.A., CAS: 72-48-0, FRASCO COM 25 G"/>
        <s v="CATMAT -327508- Corante, tipo: verde bromocresol, aspecto físico: pó, reagente P.A., CAS: 76-60-8, frasco de 5 g"/>
        <s v="CATMAT -327534- CONJUNTO REAGENTE PARA COLORAÇÃO DE GRAM, ASPECTO FÍSICO: LÍQUIDO, CARACTERÍSTICAS ADICIONAIS: FRASCOS SEPARADOS CONTENDO, COMPOSIÇÃO: CRISTALVIOLETA,LUGOL,ETANOL-ACETONA,FUCSINA BÁSICA, CADA REAGENTE ACOMODADO EM FRASCO DE 500 ML"/>
        <s v="CATMAT -327536- Conjunto corante hematológico panótico rápido, aspecto físico: líquido, características adicionais: frascos separados contendo, composição: 0,1% de ciclohexadienos, 0,1% de azobenzosulfônicos, componentes adicionais: 0,1% de fenotiazinas. cada reagente acomodado em frasco de 500 mL&#10;"/>
        <s v="CATMAT -331361- CORANTE, TIPO AZUL DE METILENO, ASPECTO FÍSICO PÓ, CARACTERÍSTICAS ADICIONAIS CI 52015. FRASCO COM 25G."/>
        <s v="CATMAT -334384- Óleo de imersão, uso para microscopia, aspecto físico líquido límpido, transparente, frasco 100 mL."/>
        <s v="CATMAT -338662- Reagente Bradford Corante, tipo: reagente de Bradford, aspecto físico: líquido; FRASCO com 500 mL."/>
        <s v="CATMAT -339048- AZOCASEÍNA (Sinônimo: Sulfanilamida-Azocaseína), ASPECTO FÍSICO: PÓ. FRASCO DE 1 GRAMA. CAS 102110-74-7"/>
        <s v="CATMAT -345903- ACETONA, ASPECTO FÍSICO LÍQUIDO LÍMPIDO TRANSPARENTE, FÓRMULA QUÍMICA C3H6O, MASSA MOLECULAR 58,08 G/MOL, GRAU DE PUREZA PUREZA MÍNIMA DE 99,8%, CARACTERÍSTICA ADICIONAL REAGENTE P/ UV-IR-HPLC-GPC, NÚMERO DE REFERÊNCIA QUÍMICA CAS 67-64-1"/>
        <s v="CATMAT -346506- Ácido gálico composição química: C6H2(OH)3COOH.H2O aspecto físico: pó ou fino cristal branco ou bege, pureza mínima de 98% peso molecular: 188,14 g/mol, característica adicional: reagente P.A. número de referência química: CAS 5995-86-8, fornecimento em frasco de 100 g. Atenção: observar a unidade de medida do SIPAC e colocar múltiplo de 100 g."/>
        <s v="CATMAT -346521- Diclorometano, aspecto físico: líquido claro, incolor, fórmula química: CH2Cl2, massa molecular: 84,93 g/mol, pureza mínima de 99%, característica adicional: reagente P.A., número de referência química: CAS 75-09-2. Entregue em frasco de vidro ambar.&#10;"/>
        <s v="CATMAT -346660- Corante, tipo: azul de astra, aspecto físico: pó. CI. 48048, CAS: 82864-57-1, Frasco com 10 g,"/>
        <s v="CATMAT -347148- ACETONITRILA, ASPECTO FÍSICO: LÍQUIDO INCOLOR, LÍMPIDO, ODOR DE ÉTER, PESO MOLECULAR: 41,05 G,MOL, FÓRMULA QUÍMICA: CH3CN, GRAU DE PUREZA: PUREZA MÍNIMA DE 99,9%, CARACTERÍSTICA ADICIONAL: REAGENTE P, HPLC, NÚMERO DE REFERÊNCIA QUÍMICA: CAS 75-05-8"/>
        <s v="CATMAT -347320- ÁCIDO NÍTRICO, ASPECTO FÍSICO LÍQUIDO LÍMPIDO, INCOLOR A AMARELADO, ODOR SUFOCANTE, FÓRMULA QUÍMICA HNO3, PESO MOLECULAR 63,01, TEOR MÍNIMO 65%, CARACTERÍSTICA ADICIONAL REAGENTE P.A. ACS, NÚMERO DE REFERÊNCIA QUÍMICA CAS 7697-37-2."/>
        <s v="CATMAT -347336- Ácido clorídrico, aspecto físico líquido límpido, incolor/amarelado, fumegante, peso molecular 36,46 g/mol, fórmula química HCl, teor mínimo de 37%, característica adicional reagente P.A. ACS, número de referência química CAS 7647-01-0."/>
        <s v="CATMAT -347546- ÓXIDO DE MANGANÊS, ASPECTO FÍSICO: PÓ MARROM ESCURO, FÓRMULA QUÍMICA: MNO2, PESO MOLECULAR: 86,94 G,MOL, GRAU DE PUREZA: PUREZA MÍNIMA DE 90%, CARACTERÍSTICA ADICIONAL: REAGENTE P.A., NÚMERO DE REFERÊNCIA QUÍMICA: CAS 1313-13-9. Atenção: observar a unidade de medida do SIPAC e colocar múltiplo de 500 g."/>
        <s v="CATMAT -347625- Brometo de potássio, aspecto físico: cristal incolor ou esbranquiçado, inodoro, peso molecular: 119 g/mol, fórmula química: KBr, pureza mínima de 99%, característica adicional: reagente P.A., número de referência química: CAS 7758-02-3, entregue em frasco de 250 g. Atenção: observar a unidade de medida do SIPAC e colocar múltiplo de 250 g."/>
        <s v="CATMAT -347723- Fosfato de sódio, aspecto físico: pó fino de cristais brancos, inodoro, higroscópico, fórmula química: Na2HPO4 (dibásico anidro), massa molecular: 141,96 g/mol, pureza mínima de 99%, característica adicional: reagente P.A., número de referência química: CAS 7558-79-4. Entregue em frasco com 500 g. Atenção: observar a unidade de medida do SIPAC e colocar múltiplo de 500 g.&#10;"/>
        <s v="CATMAT -347727- Fosfato de sódio, aspecto físico pó fino de cristais brancos, inodoro, higroscópico, fórmula química NaH2PO4 (monobásico anidro), massa molecular 119,98 g/mol, pureza mínima de 98%, característica adicional reagente P.A., número de referência química CAS 7558-80-7. Entregue em frasco com 500 g. Atenção: observar a unidade de medida do SIPAC e colocar múltiplo de 500 g.&#10;"/>
        <s v="CATMAT -347756- HIDRÓXIDO DE AMÔNIO, ASPECTO FÍSICO: LÍQUIDO LÍMPIDO, INCOLOR, VOLÁTIL, DE ODOR ACRE, PESO MOLECULAR: 35,05 G/MOL, FÓRMULA QUÍMICA: NH4OH, TEOR DE NH3 ENTRE 28 E 30%, CARACTERÍSTICA ADICIONAL: EM SOLUÇÃO AQUOSA, REAGENTE P.A., NÚMERO DE REFERÊNCIA QUÍMICA: CAS 1336-21-6."/>
        <s v="CATMAT -347885- Naftaleno, aspecto físico: partículas sólidas brancas, peso molecular: 128,17 g/mol, fórmula química: C10H8, para síntese (PS), pureza mínima 98,5% característica adicional: número de referência química: CAS 91-20-3, entregue em frasco com 500 g. Atenção: observar a unidade de medida do SIPAC e colocar múltiplo de 500 g."/>
        <s v="CATMAT -347931- Carbonato De Estrôncio Aspecto Físico: Pó Branco, Inodoro , Fórmula Química: Srco3 , Peso Molecular: 147,63 G/MOL, Teor De Pureza: Pureza Mínima De 97% , Característica Adicional: Reagente P.A. , Número De Referência Química: Cas 1633-05-2. ENTREGUE EM FRASCO COM 500 G. ATENÇÃO: OBSERVAR A UNIDADE DE MEDIDA DO SIPAC E COLOCAR MÚLTIPLO DE 500 G."/>
        <s v="CATMAT -347934- Carbonato de lítio, aspecto físico: pó branco, cristalino, fórmula química: li2co3, peso molecular: 73,89 g,mol, grau de pureza: pureza mínima de 99%, característica adicional: reagente p.a., número de referência química: cas 554-13-2. Frasco com 250 g."/>
        <s v="CATMAT -347950- Carbonato de potássio, aspecto físico: finos grânulos brancos, inodoros, peso molecular: 138,21 g/mol, fórmula química: K2CO3 anidro, pureza mínima de 99%, característica adicional: reagente P.A., número de referência química: CAS 584-08-7, entregue em frasco com 500 g. Atenção: observar a unidade de medida do SIPAC e colocar múltiplo de 500 g.&#10;"/>
        <s v="CATMAT -347958- Carbonato de sódio, aspecto físico: pó ou cristais brancos, higroscópicos, inodoros, fórmula química: NA2CO3 anidro, peso molecular: 105,99 g/mol, grau de pureza: pureza mínima de 99,5%, característica adicional: reagente P.A., número de referência química: CAS 497-19-8, entregue em frasco de 500 g. Atenção: observar a unidade de medida do SIPAC e colocar múltiplo de 500 g.&#10;"/>
        <s v="CATMAT -348073- Carvão ativado, aspecto físico: pó preto, inodoro, peso molecular: 12,01 g/mol, fórmula química: C, característica adicional: reagente P.A., número de referência química: CAS 7440-44-0. Entregue em frasco com 500 g. Atenção: observar a unidade de medida do SIPAC e colocar múltiplo de 500 g.&#10;"/>
        <s v="CATMAT -348275- ALCOOL ISOPROPILICO P.A. - PUREZA MÍNIMA: 99%; - GRAU: GRAU ANALÍTICO; - OBS.: O REAGENTE DEVERÁ VIR ACOMPANHADO DO LAUDO DO FABRICANTE COM NO MÍNIMO A ESPECIFICAÇÃO LISTADA ACIMA, FICHA TÉCNICA DE SEGURANÇA E NORMAS DE ACONDICIONAMENTO."/>
        <s v="CATMAT -348276- ÁLCOOL PROPÍLICO, ASPECTO FÍSICO: LÍQUIDO LÍMPIDO, INCOLOR, ODOR CARACTERÍSTICO, FÓRMULA QUÍMICA: (CH3)2CHOH (ISOPROPÍLICO OU ISO-PROPANOL), PESO MOLECULAR : 60,10 G,MOL, GRAU DE PUREZA: PUREZA MÍNIMA DE 99,7%, CARACTERÍSTICA ADICIONAL: REAGENTE P, UV,HPLC, NÚMERO DE REFERÊNCIA QUÍMICA: CAS 67-63-0"/>
        <s v="CATMAT -348679- Óxido de cálcio, aspecto físico pó branco ou levemente amarelado, inodoro, peso molecular 56,08 g/mol, fórmula química CaO, pureza mínima de 95%, característica adicional reagente P.A., número de referência química: CAS 1305-78-8. Entregue em frasco com 500 g. Atenção: observar a unidade de medida do SIPAC e colocar múltiplo de 500 g."/>
        <s v="CATMAT -348966- anidrido acético, aspecto físico líquido incolor, translúcido, odor picante, peso molecular 102,09, fórmula química ch3co)2o, grau de pureza pureza mínima de 97%, característica adicional reagente p.a., número de referência química cas 108-24-7. Frasco com 500 mL."/>
        <s v="CATMAT -348972- Silicato de sódio, aspecto físico: pó, cristais ou grânulos brancos, composição química: Na2SiO3 (anidro), peso molecular: 122,06 g/mol, teor mínimo de 50% de SiO2, número de referência química: CAS 6834-92-0, entregue em frasco com 500 g. Atenção: observar a unidade de medida do SIPAC e colocar múltiplo de 500 g."/>
        <s v="CATMAT -349837 - Dextrose, aspecto físico: cristal incolor ou pó branco cristalino, inodoro, fórmula química: C6H12O6, peso molecular: 198,18 g/mol, característica adicional: reagente P.A. ACS, número de referência química: CAS 50-99-7, entregue em frasco de 500 g. Atenção: observar a unidade de medida do SIPAC e colocar múltiplo de 500 g."/>
        <s v="CATMAT -350030- ETILENOGLICOL (ETANO-1,2-DIOL), ASPECTO FÍSICO LÍQUIDO INCOLOR, ODOR ADOCICADO, PESO MOLECULAR 62,07, FÓRMULA QUÍMICA C2H6O2, GRAU DE PUREZA PUREZA MÍNIMA DE 99,5%, CARACTERÍSTICA ADICIONAL REAGENTE P.A., NÚMERO DE REFERÊNCIA QUÍMICA CAS 107-21-1"/>
        <s v="CATMAT -351610- Ácido cítrico, aspecto físico cristal incolor, inodoro, sabor ácido agradável, fórmula química C6H8O7 anidro, peso molecular 192,13 g/mol, pureza mínima de 99,5%, característica adicional reagente P.A. ACS, número de referência química CAS 77-92-9. Fornecimento em Frasco de 500 g. Atenção: observar a unidade de medida do SIPAC e colocar múltiplo de 500 g."/>
        <s v="CATMAT -351917- Carboximetilcelulose (cmc), aspecto físico pó branco ou levemente amarelado, inodoro, pureza mínima de 99%, característica adicional alta viscosidade, reagente P.A., número de referência química: CAS 9004-32-4, entregue em frasco com 500 g."/>
        <s v="CATMAT -352710- ÁCIDO FOSFÓRICO, ASPECTO FÍSICO LÍQUIDO INCOLOR, INODORO, FÓRMULA QUÍMICA H3PO4, PESO MOLECULAR 98,00 G/MOL, PUREZA MÍNIMA DE 85%, CARACTERÍSTICA ADICIONAL REAGENTE P.A., NÚMERO DE REFERÊNCIA QUÍMICA CAS 7664-38-2"/>
        <s v="CATMAT -352740- Éter de petróleo, aspecto físico líquido incolor, límpido, com odor de gasolina, fórmula química mistura de hidrocarbonetos derivados do petróleo, faixa de destilação destilados entre 30 e 60ºc, teor de pureza pureza mínima de 99,5%, característica adicional reagente P.A., número de referência química CAS 8032-32-4. Entregue em frasco de vidro ambar."/>
        <s v="CATMAT -352749- Fosfato de potássio, aspecto físico pó branco cristalino, inodoro, fórmula química KH2PO4 (monobásico anidro), peso molecular 136,09 g/mol, pureza mínima de 99%, característica adicional reagente P.A., número de referência química: CAS 7778-77-0. Entregue em frasco com 500 g. Atenção: observar a unidade de medida do SIPAC e colocar múltiplo de 500 g."/>
        <s v="CATMAT -352801- CLORETO DE AMÔNIO, ASPECTO FÍSICO: PÓ BRANCO, CRISTALINO, INODORO, PESO MOLECULAR: 53,49 G/MOL, FÓRMULA QUÍMICA: NH4CL, PUREZA MÍNIMA DE 99,5%, CARACTERÍSTICA ADICIONAL: REAGENTE P.A., NÚMERO DE REFERÊNCIA QUÍMICA: CAS 12125-02-9. ENTREGUE EM FRASCO COM 500 G. ATENÇÃO: OBSERVAR A UNIDADE DE MEDIDA DO SIPAC E COLOCAR MÚLTIPLO DE 500 G."/>
        <s v="CATMAT -352843- SULFATO DE SÓDIO, ASPECTO FÍSICO FINOS GRÂNULOS BRANCOS CRISTALINOS, INODOROS, PESO MOLECULAR 142,04, FÓRMULA QUÍMICA NA2.SO4 ANIDRO, GRAU DE PUREZA PUREZA MÍNIMA DE 99%, CARACTERÍSTICA ADICIONAL REAGENTE P.A., NÚMERO DE REFERÊNCIA QUÍMICA CAS 7757-82-6. ENTREGUE EM FRASCOS DE 1000 G."/>
        <s v="CATMAT -352951- Ácido ascórbico, aspecto físico cristal branco a amarelado, fórmula química C6H8O6 (ácido L-ascórbico), peso molecular 176,13 g/mol, pureza mínima de 99%, característica adicional reagente P.A., número de referência química CAS 50-81-7, fornecimento em Frasco de 500 g. Atenção: observar a unidade de medida do SIPAC e colocar múltiplo de 500 g.&#10;"/>
        <s v="CATMAT -353039- Ferrocianeto de potássio, aspecto físico cristal amarelo, fórmula química K4Fe(CN)6.3H20 (tri-hidratado), peso molecular 422,39 g/mol, mínima de 98%, característica adicional reagente P.A., número de referência química: CAS 14459-95-1, entregue em frasco de 250 g. Atenção: observar a unidade de medida do SIPAC e colocar múltiplo de 250 g."/>
        <s v="CATMAT -353070- Iodeto de sódio, composição química: NaI, peso molecular: 149,89 g/mol, aspecto físico: pó cristalino, branco, inodoro, pureza mínima de 99,5%, característica adicional: reagente P.A., número de referência química: CAS 7681-82-5, entregue em frasco com 100 g. Atenção: observar a unidade de medida do SIPAC e colocar múltiplo de 100 g."/>
        <s v="CATMAT -353076- GLICERINA (GLICEROL), ASPECTO FÍSICO: LÍQUIDO VISCOSO, INCOLOR, HIGROSCÓPICO, FÓRMULA QUÍMICA: C3H8O3, PESO MOLECULAR: 92,10 G/MOL, PUREZA MÍNIMA DE 99,5%, CARACTERÍSTICA ADICIONAL: REAGENTE P.A., NÚMERO DE REFERÊNCIA QUÍMICA: CAS 56-81-5."/>
        <s v="CATMAT -353077- Glicerol, aspecto físico líquido viscoso, incolor, higroscópico, fórmula química C3H8O3, peso molecular 92,09, teor de pureza pureza mínima de 99,5%, característica adicional reagente P.A. ACS, número de referência química CAS 56-81-5."/>
        <s v="CATMAT -353654- Ferro elementar, aspecto físico: pó agulhado cinza, fórmula química: Fe, peso molecular: 55,85 g/mol, teor de pureza: pureza mínima de 99%, característica adicional: reagente P.A., número de referência química: CAS 7439-89-6, entregue em frasco de 500 g. Atenção: observar a unidade de medida do SIPAC e colocar múltiplo de 500 g."/>
        <s v="CATMAT -353673- Hidroquinona (benzeno-1,4-diol), aspecto físico: cristais ou pó branco, fórmula química: C6H4(OH)2, peso molecular: 110,11 g/mol, pureza mínima de 99%, reagente P.A., número de referência química: CAS 123-31-9, entregue em frasco de 500 g. Atenção: observar a unidade de medida do SIPAC e colocar múltiplo de 500 g."/>
        <s v="CATMAT -354223 - Carbonato de bário, aspecto físico: pó branco, inodoro, fórmula química: BaCO3, peso molecular: 197,35 g/mol, pureza mínima de 99%, característica adicional: reagente P.A., número de referência química: CAS 513-77-9, entregue em frasco com 250 g. Atenção: observar a unidade de medida do SIPAC e colocar múltiplo de 250 g.&#10;"/>
        <s v="CATMAT -354392- Negro de eriocromo t, peso molecular: 461,38 g/mol, aspecto físico: pó escuro, preto marrom, inodoro, fórmula química: C20H12N3O7SNa, característica adicional: reagente P.A., número de referência química: CAS 1787-61-7, entregue em frasco com 25 g. Atenção: observar a unidade de medida do SIPAC e colocar múltiplo de 25 g."/>
        <s v="CATMAT -355518- Corante, tipo: conjunto coloração ácido periódico, schiff, aspecto físico: líquido, composição: solução ácido periódico, reagente schiff, componentes adicionais: hematoxilin. Kit de coloração suficiente para, no mínimo, 60 colorações."/>
        <s v="CATMAT -355578- Cloreto de benzoíla, aspecto físico: líquido límpido, incolor, odor picante, corrosivo, fórmula química: C7H5ClO, peso molecular: 140,57 g/mol, pureza mínima de 98%, característica adicional: reagente P.A., número de referência química: CAS 98-88-4."/>
        <s v="CATMAT -356158- 1,3,5-TRI-HIDROXIBENZENO (FLOROGLUCINOL), ASPECTO FÍSICO:PÓ ESBRANQUIÇADO, CRISTALINO, INODORO, FÓRMULA QUÍMICA: C6H6O3.2H2O (DIHIDRATADO), PESO MOLECULAR:162,14 G/MOL, PUREZA MÍNIMA DE 98%, CARACTERÍSTICA ADICIONAL:REAGENTE P.A., NÚMERO DE REFERÊNCIA QUÍMICA: CAS 6099-90-7.  Entregue em frasco com 25g. Atenção: observar a unidade de medida do SIPAC e colocar múltiplo de 25g."/>
        <s v="CATMAT -356835- Cloreto de ferro, aspecto físico: pó cinza esverdeado escuro a preto, inodoro, composição: FeCL3 anidro, peso molecular: 162,30 g/mol, pureza mínima de 98%, características adicionais: reagente P.A., número de referência química: CAS 7705-08-0. PODENDO SER FORNECIDO EM EMBALAGENS DE 500 G OU 250 G, A SER DEFINIDO PELO SOLICITANTE NO MOMENTO DO EMPENHO."/>
        <s v="CATMAT -356968- Selenito de sódio, aspecto físico: pó geralmente branco, peso molecular: 172,94 g/mol, fórmula química: Na2SeO3, pureza mínima de 98%, característica adicional: reagente P.A., número de referência química: CAS 10102-18-8, entregue em frasco com 100 g. Atenção: observar a unidade de medida do SIPAC e colocar múltiplo de 100 g."/>
        <s v="CATMAT -357797- Sulfato de alumínio e potássio, composição química: ALK(SO4)2.12H2O (dodecahidratado), peso molecular: 474,39 g/mol, aspecto físico: cristal branco, inodoro, pureza mínima de 98%, característica adicional: reagente P.A., número de referência química: CAS 7784-24-9, entregue em frasco de 500g. Atenção: observar a unidade de medida do SIPAC e colocar múltiplo de 500 g."/>
        <s v="CATMAT -357866- Sulfato de potássio, peso molecular: 174,26 g/mol, aspecto físico: cristais brancos, inodoros, fórmula química: K2SO4, pureza mínima de 99%, característica adicional: reagente P.A. ACS, número de referência química: CAS 7778-80-5"/>
        <s v="CATMAT -357876- FORMOL (FORMALDEÍDO), ASPECTO FÍSICO LÍQUIDO INCOLOR, LÍMPIDO, FÓRMULA QUÍMICA CH2O, PESO MOLECULAR: 30,03 G/MOL, GRAU DE PUREZA CONCENTRAÇÃO MÍNIMA DE 35%, CARACTERÍSTICA ADICIONAL REAGENTE P.A., NÚMERO DE REFERÊNCIA QUÍMICA CAS 50-00-0."/>
        <s v="CATMAT -357897- Nitrato de potássio, aspecto físico: cristal branco, inodoro, peso molecular: 101,11 g/mol, fórmula química: KNO3, pureza mínima de 99,8%, número de referência química: CAS 7757-79-1, característica adicional reagente P.A., entregue em frasco com 500 g. Atenção: observar a unidade de medida do SIPAC e colocar múltiplo de 500 g."/>
        <s v="CATMAT -358297- nitrato de amônio, peso molecular 80,04 g/mol, aspecto físico pó fino, cristalino. esbranquiçado, fórmula química NH4NO3, grau de pureza pureza mínima de 95%, característica adicional reagente P.A., número de referência química CAS 6484-52-2. Entregue em frasco com 500 g. Atenção: observar a unidade de medida do SIPAC e colocar múltiplo de 500 g."/>
        <s v="CATMAT -358984- NITRATO DE FERRO, ASPECTO FÍSICO CRISTAIS INCOLORES A VIOLETA PÁLIDO, HIGROSCÓPICOS, PESO MOLECULAR 404,00, COMPOSIÇÃO QUÍMICA FE(NO3)3.9H2O (FERRO III NONAHIDRATADO), GRAU DE PUREZA PUREZA MÍNIMA DE 98%, CARACTERÍSTICA ADICIONAL REAGENTE P.A., NÚMERO DE REFERÊNCIA QUÍMICA CAS 7782-61-8, ENTREGUE EM FRASCO COM 250 G. (UNIDADE G)"/>
        <s v="CATMAT -358986- Nitrato de magnésio, aspecto físico cristal branco, inodoro, higroscópico, fórmula química Mg(NO3)2.6H2O (hexa-hidratado), peso molecular 256,41 g/mol, pureza mínima de 98%, característica adicional reagente P.A., número de referência química CAS 13446-18-9, entregue em frasco com 500 g. Atenção: observar a unidade de medida do SIPAC e colocar múltiplo de 500 g.&#10;"/>
        <s v="CATMAT -358988- Nitrato de sódio, aspecto físico: cristal branco, inodoro, higroscópico, fórmula química: NANO3, peso molecular: 84,99 g/mol, pureza mínima de 99%, característica adicional: reagente P.A., número de referência química: CAS 7631-99-4, entregue em frasco com 500 g. Atenção: observar a unidade de medida do SIPAC e colocar múltiplo de 500 g."/>
        <s v="CATMAT -359223- Uréia, aspecto físico pó incolor a esbranquiçado, cristalino, peso molecular 60,06 g/mol, fórmula química CH4N2O, pureza mínima de 98%, característica adicional reagente P.A., número de referência química: CAS 57-13-6, entregue em frascos de 500 g. Atenção: observar a unidade de medida do SIPAC e colocar múltiplo de 500 g."/>
        <s v="CATMAT -359256- Cromato de potássio, aspecto físico: pó cristalino amarelo alaranjado, inodoro, fórmula química: K2CrO4 anidro, massa molecular: 194,19 g/mol, pureza mínima de 99%, característica adicional: reagente P.A., número de referência química: CAS 7789-00-6, entregue em frasco de 500 g. Atenção: observar a unidade de medida do SIPAC e colocar múltiplo de 500 g."/>
        <s v="CATMAT -359287- Sulfato de prata, aspecto físico: cristal branco, inodoro, peso molecular: 311,83 g/mol, composição química: Ag2SO4, pureza mínima de 98%, característica adicional: reagente P.A., número de referência química: CAS 10294-26-5. Entregue em frascos com 25 g. Atenção: observar a unidade de medida do SIPAC e colocar múltiplo de 25 g."/>
        <s v="CATMAT -359904- BIOTINA; FÓRMULA QUÍMICA: C10H16N2O3S; PESO MOLECULAR: 244.31 G/MOL; GRAU DE PUREZA MÍNIMA: 97,5% (TLC); NÚMERO DE REFERÊNCIA QUÍMICA: CAS: 58-85-5."/>
        <s v="CATMAT -359946- SULFATO DE FERRO II E AMÔNIO (SULFATO FERROSO AMONIACAL), ASPECTO FÍSICO CRISTAIS VERDES, PESO MOLECULAR 392,14, FÓRMULA QUÍMICA FE(NH4)2(SO4)2.6H2O, PUREZA MÍNIMO DE 99 %, CARACTERÍSTICA ADICIONAL REAGENTE P.A., NÚMERO DE REFERÊNCIA QUÍMICA CAS 7783-85-9. FORNECIMENTO EM FRASCO DE 500 G. ATENÇÃO: OBSERVAR A UNIDADE DE MEDIDA DO SIPAC E COLOCAR MÚLTIPLO DE 500."/>
        <s v="CATMAT -360413- Sulfeto De Amônio Aspecto Físico: Líquido Levemente Amarelado, De Odor Podre , Peso Molecular: 68,15 G/MOL, Fórmula Química: (NH4)2.S , Número De Referência Química: CAS 12135-76-1. Entregue em frasco de vidro ambar."/>
        <s v="CATMAT -360465- Sulfito de sódio, aspecto físico pó cristalino ou granulado branco, fórmula química Na2SO3 (anidro), peso molecular 126,04 g/mol, pureza mínima de 98%, característica adicional reagente P.A., número de referência química CAS 7757-83-7. Entregue em frascos de 500 g. Atenção: observar a unidade de medida do SIPAC e colocar múltiplo de 500 g."/>
        <s v="CATMAT -360499- Cloreto de zinco, aspecto físico: grânulo branco cristalino, higroscópico, inodoro, peso molecular: 136,29 g/mol, fórmula química: ZnCl2 anidro, grau de pureza: pureza mínima de 97%, característica adicional: reagente P.A., número de referência química: CAS 7646-85-7. Entregue em frasco com 500 g. Atenção: observar a unidade de medida do SIPAC e colocar múltiplo de 500 g."/>
        <s v="CATMAT -360537- Cloreto de magnésio, composição básica: MgCl2.6H2O (hexa-hidratado), aspecto físico: cristal ou floco, incolor a esbranquiçado, inodoro, peso molecular: 203,30 g/mol, pureza mínima de 99%, característica adicional: reagente P.A., número de referência química: CAS 7791-18-6. Entregue em frasco de 500 g. Atenção: observar a unidade de medida do SIPAC e colocar múltiplo de 500 g."/>
        <s v="CATMAT -366451- Acetato de amônio, composição básica NH4C2H3O2, aspecto físico cristal branco, peso molecular 77,08 g/mol, pureza mínima de 97%, características adicionais: reagente P.A. ACS, número de referência química: CAS 631-61-8. Fornecimento em frasco com 500 g. Atenção: observar a unidade de medida do SIPAC e colocar múltiplo de 500 g.&#10;"/>
        <s v="CATMAT -366457- Ácido perclórico, aspecto físico líquido incolor ou levemente amarelado, peso molecular 100,46 g/mol, fórmula química HCLO4, grau de pureza concentração mínima de 70%, característica adicional reagente P.A., número de referência química CAS 7601-90-3."/>
        <s v="CATMAT -366468- Biftalato de potássio, aspecto físico: pó ou cristal branco ou incolor, inodoro, peso molecular: 204,22 g/mol, fórmula química: C8H5KO4, pureza mínima de 99,5%, característica adicional: reagente P.A., número de referência química: CAS 877-24-7, entregue em frasco com 500 g. Atenção: observar a unidade de medida do SIPAC e colocar múltiplo de 500 g."/>
        <s v="CATMAT -366472- Cloreto de sódio, aspecto físico: pó cristalino branco ou cristais incolores, composição química: NaCl anidro, peso molecular: 58,45 g/mol, pureza mínima de 99,5%, característica adicional: reagente P.A., número de referência química: CAS 7647-14-5"/>
        <s v="CATMAT -366475- Fenolftaleína, composição: C20H1404, peso molecular: 318,33 g/mol, aspecto físico: cristal branco a levemente amarelado, característica adicional: reagente P.A., número de referência química: CAS 77-09-8. Entregue como frasco de 25 g. Atenção: observar a unidade de medida do SIPAC e colocar múltiplo de 25 g."/>
        <s v="CATMAT -366478- Tetraborato de sódio, peso molecular: 381,37 g/mol, aspecto físico: pó branco, cristalino, inodoro, fórmula química: Na2B4O7.10H2O (deca-hidratado), pureza mínima de 99,5%, característica adicional: reagente P.A. ACS, número de referência química: CAS 1303-96-4. Entregue em frascos de 500 g. Atenção: observar a unidade de medida do SIPAC e colocar múltiplo de 500 g.&#10;"/>
        <s v="CATMAT -366501- Hidróxido de cálcio, aspecto físico: pó ou cristal fino branco, fórmula química: Ca(OH)2, peso molecular: 74,09 g/mol, pureza mínima de 95%, característica adicional: reagente P.A., número de referência química: CAS 1305-62-0. Entregue em frasco com 500 g. Atenção: observar a unidade de medida do SIPAC e colocar múltiplo de 500 g."/>
        <s v="CATMAT -366502- Ácido etilenodiaminotetracético (EDTA), aspecto físico pó branco cristalino, peso molecular 372,24 g/mol, fórmula química C10H14N2O8NA2.2H2O (sal dissódico dihidratado), pureza mínima de 99%, característica adicional reagente P.A., número de referência química CAS 6381-92-6. Entregue em frasco com 500 g. Atenção: observar a unidade de medida do SIPAC e colocar múltiplo de 500 g."/>
        <s v="CATMAT -370013- Dicromato de amônio, aspecto físico: pó cristalino vermelho alaranjado, brilhante, fórmula química: (NH4)2Cr2O7, peso molecular: 252,06 g/mol, pureza mínima de 97%, característica adicional: reagente P.A., número de referência química: CAS 7789-09-5. Entregue em frasco com 500 g."/>
        <s v="CATMAT -371031- Tioacetamida (TAA), aspecto físico: cristal incolor a esbranquiçado, fórmula química:C2H5NS, peso molecular: 75,13 g/mol, pureza mínima de 99%, reagente P.A. ACS, número de referência química: CAS 62-55-5, entregue em frascos de 50 g. Atenção: observar a unidade de medida do SIPAC e colocar múltiplo de 50 g."/>
        <s v="CATMAT -374023- Iodato de potássio, aspecto físico: pó cristalino branco e inodoro, peso molecular: 214 g/mol, fórmula química: KIO3 anidro, pureza mínima de 99%, característica adicional: reagente P.A., número de referência química: CAS 7758-05-6, entregue em frasco com 250 g. Atenção: observar a unidade de medida do SIPAC e colocar múltiplo de 250 g."/>
        <s v="CATMAT -374389- NITRATO DE ALUMÍNIO - ASPECTO FÍSICO: CRISTAIS BRANCOS PESO MOLECULAR: 375,13 G/MOL FÓRMULA QUÍMICA: AL(NO3)3·9H2O (NONAHIDRATADO) GRAU DE PUREZA: PUREZA MÍNIMA DE 98,5% CARACTERÍSTICA ADICIONAL: REAGENTE P.A ACS NÚMERO DE REFERÊNCIA QUÍMICA: CAS 7784-27-2. Fornecimento em frasco de 500 g. Atenção: observar a unidade de medida do SIPAC e colocar múltiplo de 500 g."/>
        <s v="CATMAT -374583- CLORETO DE CHUMBO, ASPECTO FÍSICO: PÓ BRANCO, INODORO, FÓRMULA QUÍMICA: PBCL2, PESO MOLECULAR: 278,11 G,MOL, GRAU DE PUREZA: PUREZA MÍNIMA DE 99%, CARACTERÍSTICA ADICIONAL: REAGENTE P.A., NÚMERO DE REFERÊNCIA QUÍMICA: CAS 7758-95-4. Entregue em frasco com 250 g. Atenção: observar a unidade de medida do SIPAC e colocar múltiplo de 250 g."/>
        <s v="CATMAT -374748- SACAROSE ULTRAPURA (ULTRAPURE SUCROSE). (P.M. 342.30- QUILO / PUREZA:&gt;=99.9% / PARA USO EM PESQUISA. TEMPERATURA DE ESTOCAGEM 15 A 30 ºC.). FRASCO COM 5 QUILOS."/>
        <s v="CATMAT -374752- Safranina, composição química C20H19ClN4, aspecto físico pó vermelho pardo, inodoro, peso molecular 350,85, absorbância máxima 530-535 nm, índice internacional de clorante CI 50240. Entregue em frasco com 25 g. Atenção: observar a unidade de medida do SIPAC e colocar múltiplo de 25 g."/>
        <s v="CATMAT -374769- Trietilenoglicol, aspecto físico: líquido límpido, incolor, inodoro, peso molecular: 150,17 g/mol, fórmula química: C6H14O4, pureza mínima de 99%, número de referência química: CAS 112-27-6"/>
        <s v="CATMAT -374814 - Sulfato de cálcio, aspecto físico pó granular branco, inodoro, peso molecular 172,17 g/mol, fórmula química CaSO4.2H2O (di-hidratado), característica adicional precipitado, reagente P.A., teor de pureza mínima de 98%, número de referência química: CAS 10101-41-4. Fornecimento em Frasco de 500 g. Atenção: observar a unidade de medida do SIPAC e colocar múltiplo de 500 g."/>
        <s v="CATMAT -374874- Cobre, aspecto físico: pó avermelhado, inodoro, fórmula química: Cu, peso molecular: 63,54 g/mol, pureza mínima de 99%, característica adicional: reagente P.A., número de referência química: CAS 7440-50-8. Atenção: observar a unidade de medida do SIPAC e colocar múltiplo de 100 g."/>
        <s v="CATMAT -374920- Tetracloreto de carbono, aspecto físico líquido límpido, incolor, cheiro doce característico, peso molecular 153,82 g/mol, fórmula química CCl4, pureza mínima de 99,5%, característica adicional reagente P.A., número de referência química CAS 56-23-5."/>
        <s v="CATMAT -374994- Corante, aspecto físico: pó, tipo : vermelho de metila, P.A. ACS, número de referência química: CI 13020, frasco de 25 g."/>
        <s v="CATMAT -375801- Molibdato de sódio, aspecto físico:pó branco cristalino, peso molecular: 241,95 g/mol, fórmula química: Na2MoO4·2H2O (dihidratado), pureza mínima de 99%, caracteristica adicional: reagente P.A., número de referência química:CAS 10102-40-6. Atenção: observar a unidade de medida do SIPAC e colocar múltiplo de 100 g."/>
        <s v="CATMAT -376193- Óxido de estanho, aspecto físico: pó branco, levemente acinzentado, inodoro, fórmula química: SnO2 (óxido estânico - IV), peso molecular: 150,71 g/mol, pureza mínima de 99,8%, número de referência química: CAS 18282-10-5. Atenção: observar a unidade de medida do SIPAC e colocar múltiplo de 100 g."/>
        <s v="CATMAT -376244- ALUMÍNIO, ASPECTO FÍSICO: PÓ FINÍSSIMO, PRATEADO, INODORO, FÓRMULA QUÍMICA: AL, PESO MOLECULAR: 26,98 G,MOL, GRAU DE PUREZA: PUREZA MÍNIMA DE 99,5%, NÚMERO DE REFERÊNCIA QUÍMICA: CAS 7429-90-5. Entregue em frasco com 100 g. Atenção: observar a unidade de medida do SIPAC e colocar múltiplo de 100 g."/>
        <s v="CATMAT -376251- TIAMINA, ASPECTO FÍSICO PÓ FINO, BRANCO, CRISTALINO, FÓRMULA QUÍMICA C12H17CLN4SO.HCL (SAL HIDROCLORETO), PESO MOLECULAR 337,27, GRAU DE PUREZA PUREZA MÍNIMA DE 98%, CARACTERÍSTICA ADICIONAL REAGENTE P.A., NÚMERO DE REFERÊNCIA QUÍMICA CAS 67-03-8. Entregue em frasco com 100 g. Atenção: observar a unidade de medida do SIPAC e colocar múltiplo de 100 g."/>
        <s v="CATMAT -376296- Ácido benzoico, aspecto físico pó branco ou cristal incolor, com odor forte, fórmula química C6H5COOH, peso molecular 122,12 g/mol, pureza mínima de 99,5%, característica adicional reagente P.A. ACS, número de referência química CAS 65-85-0. Entregue em frasco de 500 g. Atenção: observar a unidade de medida do SIPAC e colocar múltiplo de 500 g.&#10;"/>
        <s v="CATMAT -376981- sulfato de mercúrio ii, composição química hgso4, aspecto físico pó cristalino, peso molecular 296,65, grau de pureza mínimo de 98%, característica adicional reagente p.a., número de referência química cas 7783-35-9. entregue em frasco de 100 g. Atenção: observar a unidade de medida do SIPAC e colocar múltiplo de 100 g."/>
        <s v="CATMAT -376987- Hidróxido de bário, aspecto físico: pó branco, inodoro, peso molecular: 315,48 g/mol, fórmula química: Ba(OH)2.8H2O, pureza mínima de 96%, característica adicional: reagente P.A., número de referência química: CAS 12230-71-6. Entregue em frasco com 500 g. Atenção: observar a unidade de medida do SIPAC e colocar múltiplo de 500 g."/>
        <s v="CATMAT -377674- N-feniltioureia, aspecto físico: pó cristalino esbranquiçado, fórmula química: C6H5NHCSNH2 (1-fenil-2-tioureia), peso molecular: 152,23 g/mol, grau de pureza: pureza mínima de 98%, número de referência química: CAS 103-85-5, entregue em 10 g. Atenção: observar a unidade de medida do SIPAC e colocar múltiplo de 10 g."/>
        <s v="CATMAT -378971- HIPOCLORITO DE SÓDIO, ASPECTP FÍSICO LÍQUIDO AMARELO ESVERDEADO, CONCENTRAÇÃO TEOR MÍNIMO DE 12% DE CLORO ATIVO. FRASCO DE 1L."/>
        <s v="CATMAT -380337- Tolueno, aspecto físico: líquido incolor, odor característico de benzeno, composição química: C6H5CH3, peso molecular: 92,14 g,mol, pureza mínima de 99,5%, característica adicional: reagente P.A., número de referência química: CAS 108-88-3. Entregue em frasco de vidro ambar."/>
        <s v="CATMAT -380384- Ácido sulfúrico, aspecto físico: líquido incolor, inodoro, viscoso, cristalino, fórmula química: H2SO4, massa molecular: 98,09 g/mol, pureza mínima de 95%, característica adicional: reagente P.A. ACS, número de referência química: CAS 7664-93-9."/>
        <s v="CATMAT -380436 - Acetato de sódio, aspecto físico: fino composto de cristais brancos ou incolores, fórmula química: CH3COONa anidro, massa molecular: 82,03 G/MOL, pureza mínima de 99%, característica adicional: reagente P.A. ACS, número de referência química: CAS 127-09-3. Fornecimento em frasco de 500 g. Atenção: observar a unidade de medida do SIPAC e colocar múltiplo de 500 g.&#10;"/>
        <s v="CATMAT -380439- CLORETO DE BÁRIO, ASPECTO FÍSICO: PÓ OU GRÂNULO CRISTALINO, INCOLOR OU BRANCO, FÓRMULA QUÍMICA: BACL2.2H2O, MASSA MOLECULAR: 244,27 G,MOL, GRAU DE PUREZA: PUREZA MÍNIMA DE 99%, CARACTERÍSTICA ADICIONAL: REAGENTE P.A. ACS, NÚMERO DE REFERÊNCIA QUÍMICA: CAS 10326-27-9. ENTREGUE EM FRASCO COM 500 G."/>
        <s v="CATMAT -380786- ACETONA, ASPECTO FÍSICO LÍQUIDO LÍMPIDO TRANSPARENTE, FÓRMULA QUÍMICA C3H6O, MASSA MOLECULAR 58,08, GRAU DE PUREZA PUREZA MÍNIMA DE 99,5%, CARACTERÍSTICA ADICIONAL REAGENTE P.A. ACS, NÚMERO DE REFERÊNCIA QUÍMICA CAS 67-64-1"/>
        <s v="CATMAT -380790- Álcool butílico, aspecto físico: líquido límpido, incolor, odor forte característico, peso molecular: 74,12 g/mol, fórmula química: C4H9OH normal (1-butanol), pureza mínima de 99,4%, característica adicional: reagente P.A. ACS, número de referência química: CAS 71-36-3."/>
        <s v="CATMAT -380869- CLOROFÓRMIO, ASPECTO FÍSICO: LÍQUIDO CLARO, INCOLOR, ODOR FORTE CARACTERÍSTICO, PESO MOLECULAR: 119,38 G,MOL, FÓRMULA QUÍMICA: CHCL3, GRAU DE PUREZA: PUREZA MÍNIMA DE 99%, CARACTERÍSTICA ADICIONAL: REAGENTE P.A. ACS, NÚMERO DE REFERÊNCIA QUÍMICA: CAS 67-66-3"/>
        <s v="CATMAT -380907- Permanganato de potássio, aspecto físico pó cristalino marrom violáceo, inodoro, fórmula química KMnO4, peso molecular 158,03 g/mol, pureza mínima de 99%, característica adicional reagente P.A. ACS, número de referência química CAS 7722-64-7. Entregue em frasco com 500g. Atenção: observar a unidade de medida do SIPAC e colocar múltiplo de 500 g."/>
        <s v="CATMAT -381057- Sulfato de magnésio, aspecto físico: cristal incolor, brilhante, inodoro, amargo, fórmula química: MgSO4 anidro, massa molecular: 120,37 g/mol, pureza mínima de 98%, característica adicional: reagente P.A., número de referência química: CAS 7487-88-9. Fornecimento em Frasco de 1000 g. Atenção: observar a unidade de medida do SIPAC e colocar múltiplo de 1000 g."/>
        <s v="CATMAT -381272- Tiocianato de potássio, aspecto físico cristais incolores, inodoros, higroscópicos, composição KSCN, peso molecular 97,18 g/mol, pureza mínima de 98%, característica adicional reagente P.A., número de referência química: CAS 333-20-0, entregue em frascos de 500 g. Atenção: observar a unidade de medida do SIPAC e colocar múltiplo de 500 g.&#10;"/>
        <s v="CATMAT -382043- Timol, aspecto físico: pó cristalino incolor a esbranquiçado, fórmula química: C10H14O, peso molecular: 150,22 g/mol, pureza mínima de 99%, número de referência química: CAS 89-83-8. Entregue em frascos com 100 g. Atenção: observar a unidade de medida do SIPAC e colocar múltiplo de 100 g."/>
        <s v="CATMAT -382201- Brometo de cetiltrimetilamônio, aspecto físico: pó branco cristalino, fórmula química: (CH3)(CH2)15N(Br)(ch3)3, peso molecular: 364,45 g/mol, pureza mínima de 99%, número de referência química: CAS: 57-09-0, entregue em fraco de 100 g. Atenção: observar a unidade de medida do SIPAC e colocar múltiplo de 100 g."/>
        <s v="CATMAT -382558- Sulfeto de sódio, aspecto físico: cristal ou floco, branco a amarelado, odor podre, peso molecular: 240,18 g/mol, fórmula química: Na2S.9H2O (nona-hidratado), pureza mínima de 98%, característica adicional: reagente P.A., número de referência química: CAS 1313-84-4. Entregue em frasco de 100 g. Atenção: observar a unidade de medida do SIPAC e colocar múltiplo de 100 g."/>
        <s v="CATMAT -387015- ÁGAR BACTERIOLÓGICO (ÁGAR ÁGAR), ASPECTO FÍSICO: PÓ. EM FRASCOS COM 500 G"/>
        <s v="CATMAT -388554- Meio de cultura, tipo: conjunto completo, aditivos: com reativo de kovacs, outros componentes: meio epm, meio mili, ágar citrato de simmons"/>
        <s v="CATMAT -391722- Biiodato de potássio, aspecto físico: pó branco cristalino, fórmula química: KH(IO3)2, peso molecular: 389,91 g/mol, pureza mínima de 99,8%, característica adicional: reagente P.A., número de referência química: CAS 13455-24-8. entregue em fraco de 100 g. Atenção: observar a unidade de medida do SIPAC e colocar múltiplo de 100 g."/>
        <s v="CATMAT -392832- Meio de cultura, tipo: água peptonada tamponada, apresentação: pó 500g"/>
        <s v="CATMAT -400499-Cloreto de cobalto II, aspecto físico: cristal rosa a vermelho, odor leve penetrante, peso molecular: 237,93 g/mol, fórmula química: COCL2.6H2O, pureza mínima de 98%, característica adicional: reagente P.A. ACS, número de referência química: CAS 7791-13-1. Entregue em frasco com 100 g. Atenção: observar a unidade de medida do SIPAC e colocar múltiplo de 100 g."/>
        <s v="CATMAT -400844- Oxalato de sódio, aspecto físico cristais finos brancos, inodoros, fórmula química Na2C2O4, massa molecular 134,01 g/mol, pureza mínima de 99%, característica adicional reagente P.A., número de referência química CAS 62-76-0. entregue em frasco com 500 g. Atenção: observar a unidade de medida do SIPAC e colocar múltiplo de 500 g.&#10;"/>
        <s v="CATMAT -401189- Bicarbonato de sódio, aspecto físico: pó branco, fino, peso molecular: 84,01 g/mol, fórmula química: NaHCO3, pureza mínima de 99%, característica adicional: reagente P.A., número de referência química CAS 144-55-8, entregue em frasco com 500 g. Atenção: observar a unidade de medida do SIPAC e colocar múltiplo de 500 g.&#10;"/>
        <s v="CATMAT -403993- Molibdato de amônio, aspecto físico pó cristalino branco a levemente amarelado, peso molecular 1235,86, fórmula química (NH4)6Mo7O24·4H2O (heptamolibdato, tetrahidratado), grau de pureza teor de MoO3 81,0 a 83,0%, pureza mínima de 99,0%, característica adicional reagente P.A. ACS, número de referência química: CAS 12054-85-2, entregue em frasco com 100 g. Atenção: observar a unidade de medida do SIPAC e colocar múltiplo de 100 g."/>
        <s v="CATMAT -405780 - ÁLCOOL ETÍLICO, ASPECTO FÍSICO LÍQUIDO LÍMPIDO, INCOLOR, VOLÁTIL, TEOR ALCOÓLICO MÍNIMO DE 77 ¨GL (77% V/V A 20 ¨C), FÓRMULA QUÍMICA C2H5OH, PESO MOLECULAR 46,07, GRAU DE PUREZA MÍNIMO DE 70 INPM (70% P/P), CARACTERÍSTICA ADICIONAL HIDRATADO, NÚMERO DE REFERÊNCIA QUÍMICA CAS 64-17-5. EMBALAGEM DE 5L OU DE 1L, DEFINIDO PELO REQUISITANTE NO EMPENHO."/>
        <s v="CATMAT -407162- Cloreto de alumínio, composição AlCl3 anidro, peso molecular 133,34 g/mol, aspecto físico pó cristalino amarelado, pureza mínima de 99%, característica adicional reagente P.A., número de referência química CAS 7446-70-0. Entregue em frasco com 500 g. Atenção: observar a unidade de medida do SIPAC e colocar múltiplo de 500 g."/>
        <s v="CATMAT -407914- Corante, tipo: sudan III, aspecto físico: pó, características adicionais: CI 26100, frasco com 25 g."/>
        <s v="CATMAT -412156- Reagente analítico 4, tipo: reativo de Folin Ciocalteau, aspecto físico: solução aquosa, concentração 2 mol/L, frasco 500 mL."/>
        <s v="CATMAT -412588- Dicromato de potássio, aspecto físico: pó fino, cristalino, cor laranja, composição química: K2Cr2O7, peso molecular: 294,18 g/mol, pureza mínima de 99%, característica adicional: reagente P.A. ACS, número de referência química: CAS 7778-50-9, entregue em frasco de 250 g. Atenção: observar a unidade de medida do SIPAC e colocar múltiplo de 250 g."/>
        <s v="CATMAT -412629- Fluoreto de sódio, aspecto físico pó cristalino branco, inodoro, fórmula química NAF, peso molecular 41,99 g/mol, pureza mínima de 99%, característica adicional reagente P.A, número de referência química CAS 7681-49-4. Entregue em frasco com 100 g. Atenção: observar a unidade de medida do SIPAC e colocar múltiplo de 100 g."/>
        <s v="CATMAT -412633- CLORETO DE CÁLCIO, ASPECTO FÍSICO: PÓ, GRANULADO OU ESCAMA BRANCA OU ROSADA, OPACA, FÓRMULA QUÍMICA: CACL2.2H2O, MASSA MOLECULAR: 147,01 G/MOL, PUREZA MÍNIMA DE 99%, CARACTERÍSTICA ADICIONAL: REAGENTE P.A., NÚMERO DE REFERÊNCIA QUÍMICA: CAS 10035-04-8."/>
        <s v="CATMAT -412635- CARBONATO DE CÁLCIO, ASPECTO FÍSICO: PRECIPITADO, PÓ BRANCO, FINO, INODORO, HIGROSCÓPICO, PESO MOLECULAR: 100,09 G/MOL, FÓRMULA QUÍMICA: CACO3, PUREZA MÍNIMA DE 99%, CARACTERÍSTICA ADICIONAL: REAGENTE P.A., NÚMERO DE REFERÊNCIA QUÍMICA: CAS 471-34-1, ENTREGUE EM FRASCO COM 500 G. ATENÇÃO: OBSERVAR A UNIDADE DE MEDIDA DO SIPAC E COLOCAR MÚLTIPLO DE 500 G."/>
        <s v="CATMAT -412648-ÁCIDO ACÉTICO, ASPECTO FÍSICO: LÍQUIDO LÍMPIDO TRANSPARENTE, PESO MOLECULAR: 60,05 G,MOL, FÓRMULA QUÍMICA: C2H4O2, GRAU DE PUREZA: PUREZA MÍNIMA DE 99,5%, CARACTERÍSTICA ADICIONAL: GLACIAL,REAGENTE P.A., ACS, NÚMERO DE REFERÊNCIA QUÍMICA: CAS 64-19-7"/>
        <s v="CATMAT -412698- PERÓXIDO DE HIDROGÊNIO, ASPECTO FÍSICO: LÍQUIDO INCOLOR, INSTÁVEL, CORROSIVO, COMPOSIÇÃO BÁSICA: H202, PESO MOLECULAR: 34,01 G,MOL, PUREZA MÍNIMA: TEOR MÍNIMO DE 50%, CARACTERÍSTICA ADICIONAL: REAGENTE P.A., NÚMERO DE REFERÊNCIA QUÍMICA: CAS 7722-84-1"/>
        <s v="CATMAT -412728- Nitrato de prata, aspecto físico cristal incolor, transparente, inodoro, fórmula química AgNO3, peso molecular 169,87 g/mol, pureza mínima de 99,5%, característica adicional reagente P.A. ACS, número de referência química CAS 7761-88-8, entregue em frasco com 25 g. Atenção: observar a unidade de medida do SIPAC e colocar múltiplo de 25 g."/>
        <s v="CATMAT -412804- Óxido de alumínio, aspecto físico: pó ou grânulos brancos, inodoro, fórmula química: Al2O3, peso molecular: 101,96 g/mol, pureza mínima 99%, reagente, P.A. número de referência química: CAS 1344-28-1, entregue em frasco de 500 g. Atenção: observar a unidade de medida do SIPAC e colocar múltiplo de 500 g."/>
        <s v="CATMAT -413588- Etilenoglicol Monometil Éter (2-metoxietanol) 99% P.A.; Líquido transparente; Fórmula C3H8O2; Peso molecular 76,09g/mol; CAS 109-86-4."/>
        <s v="CATMAT -414450- CARBONATO DE SÓDIO HIDRATADO, ASPECTO FÍSICO: PÓ OU CRISTAIS BRANCOS, HIGROSCÓPICOS, INODOROS, FÓRMULA QUÍMICA: NA2CO3.10H2O (DECAHIDRATADO), PESO MOLECULAR: 286,14 G,MOL, GRAU DE PUREZA: PUREZA MÍNIMA DE 99%, CARACTERÍSTICA ADICIONAL: REAGENTE P.A., NÚMERO DE REFERÊNCIA QUÍMICA: CAS 6132-02-1. Entregue em frasco com 500 g. Atenção: observar a unidade de medida do SIPAC e colocar múltiplo de 500 g."/>
        <s v="CATMAT -415235- REAGENTE ANALÍTICO 2, ASPECTO FÍSICO: PÓ, COMPOSIÇÃO: ÁCIDO CALCONCARBOXÍLICO, CARACTERÍSTICAS ADICIONAIS: CAS 3737-95-9, FRASCO COM 25 G."/>
        <s v="CATMAT -415314- Cloreto de ferro, aspecto físico:pó cristalino, marrom amarelado, composição: FeCl3·6H2O OU [Fe(H2O)6]Cl3, peso molecular: 270,30 g/mol, pureza mínima de 97%, características adicionais:reagente P.A., número de referência química: CAS 10025-77-1. Entregue em frasco com 500 g. Atenção: observar a unidade de medida do SIPAC e colocar múltiplo de 500 g."/>
        <s v="CATMAT -415314- Silicato de sódio, aspecto físico: grânulos brancos, composição química: Na2SiO3.9H2O, peso molecular: 284,20 g/mol, pureza mínima de 98%, número de referência química: CAS 13517-24-3. Atenção: observar a unidade de medida do SIPAC e colocar múltiplo de 100 g."/>
        <s v="CATMAT -415707- Meio de cultura,, tipo: caldo nutriente, apresentação: pó, frasco 500 g"/>
        <s v="CATMAT -416199- HEXANO, ASPECTO FÍSICO: LÍQUIDO LÍMPIDO INCOLOR, PESO MOLECULAR: 86,18 G,MOL, COMPOSIÇÃO QUÍMICA: CH3(CH2)4CH3, TEOR DE PUREZA: PUREZA MÍNIMA DE 95%, CARACTERÍSTICA ADICIONAL: REAGENTE P, HPLC, NÚMERO DE REFERÊNCIA QUÍMICA: CAS 110-54-3"/>
        <s v="CATMAT -416785- Polietilenoglicol (macrogol), aspecto físico: flocos cerosos brancos a quase brancos, odor fraco, peso molecular: em torno de 6.000 g/mol (PEG 6.000), fórmula química: OH(C2H4O)nH, número de referência química: CAS 25322-68-3, P.A., entregue em frasco com 500 g. Atenção: observar a unidade de medida do SIPAC e colocar múltiplo de 500 g."/>
        <s v="CATMAT -419337- CLOROFÓRMIO, ASPECTO FÍSICO LÍQUIDO LÍMPIDO, INCOLOR, ODOR AGRADÁVEL, PESO MOLECULAR 120,38, FÓRMULA QUÍMICA CDCL3 (CLOROFÓRMIO DEUTERADO), GRAU DE PUREZA PUREZA ISOTÓPICA DE 99,8 ATOM % D, CARACTERÍSTICA ADICIONAL COM 0.03 % (V/V) TMS, NÚMERO DE REFERÊNCIA QUÍMICA CAS 865-49-6. Entregue em frasco com 50 g.  Atenção: observar a unidade de medida do SIPAC e colocar múltiplo de 50 g. Entregue em frasco de vidro ambar."/>
        <s v="CATMAT -419368- Sacarose, composição química C12H22O11, peso molecular 342,29 g/mol, aspecto físico pó branco cristalino, inodoro, reagente P.A. característica adicional padrão de referência analítico, número de referência química CAS 57-50-1."/>
        <s v="CATMAT -420021- Nitrato de zinco, aspecto físico: cristal incolor a esbranquiçado, leve odor nítrico, fórmula química: Zn(NO3)2.6H2O (hexa-hidratado), peso molecular: 297,49 g/mol, pureza mínima de 99%, característica adicional: reagente P.A., número de referência química: CAS 10196-18-6, entregue em frasco com 500 g, Atenção: observar a unidade de medida do SIPAC e colocar múltiplo de 500 g."/>
        <s v="CATMAT -423240- Calmagita, reagente, aspecto físico: pó, fórmula química: HOC10H5[N=NC6H3(OH)CH3]SO3H, massa molecular: 358,37 g/mol, característica adicional: reagente P.A., número de referência química: CAS 3147-14-6. entregue em frasco com 25 g. Atenção: observar a unidade de medida do SIPAC e colocar múltiplo de 25 g."/>
        <s v="CATMAT -426587- Ácido bórico, aspecto físico: cristal incolor ou pó, grânulo branco, inodoro, peso molecular: 61,83 g/mol, composição química: H3BO3, pureza mínima de 99,5%, característica adicional: reagente P.A. ACS, número de referência química: CAS 10043-35-3. Entregue em frasco com 500 g. Atenção: observar a unidade de medida do SIPAC e colocar múltiplo de 500 g."/>
        <s v="CATMAT -428569- Sulfato de alumínio, aspecto físico: cristal incolor, inodoro, fórmula química: Al2(SO4)3 (anidro), peso molecular: 342,14 g/mol, pureza mínima de 98%, característica adicional: reagente p.a., número de referência química: cas 10043-01-3 , entregue em frasco de 500 g. Atenção: observar a unidade de medida do SIPAC e colocar múltiplo de 500 g."/>
        <s v="CATMAT -433226- Enzima, tipo: pancreatina, aspecto físico: pó liofilizado, características adicionais: de pâncreas porcino, pureza mínima: mínimo de 95%g, frasco com 500g."/>
        <s v="CATMAT -436138- SULFATO DE AMÔNIO E FERRO, ASPECTO FÍSICO: PÓ VERDE A AZULADO, FOTOSSENSÍVEL, HIGROSCÓPICO, PESO MOLECULAR: 482,19 G,MOL, FÓRMULA QUÍMICA: NH4FE(SO4)2.12H2O (DODECAHIDRATADO), GRAU DE PUREZA: PUREZA MÍNIMA DE 99%, NÚMERO DE REFERÊNCIA QUÍMICA: CAS 7783-83-7, CARACTERÍSTICAS ADICIONAIS: REAGENTE P.A. ACS. Atenção: observar a unidade de medida do SIPAC e colocar múltiplo de 500 g."/>
        <s v="CATMAT -436609- Cloreto de estanho, aspecto físico: pó, fórmula química: SNCl2 anidro, peso molecular: 189,62 g/mol, pureza mínima de 97%, característica adicional: reagente P.A., número de referência química: CAS 7772-99-8. Entregue em frasco com 250 g. Atenção: observar a unidade de medida do SIPAC e colocar múltiplo de 250 g."/>
        <s v="CATMAT -437244- SULFATO DE FERRO II, ASPECTO FÍSICO: PÓ, COMPOSIÇÃO QUÍMICA: FESO4.7H2O (SULFATO DE FERRO II HEPTAHIDRATADO), PESO MOLECULAR: 278,01 G,MOL, GRAU DE PUREZA: PUREZA MÍNIMA DE 99%, CARACTERÍSTICA ADICIONAL: REAGENTE P.A., NÚMERO DE REFERÊNCIA QUÍMICA: CAS 7782-63-0. Fornecimento em Frasco de 500 g. Atenção: observar a unidade de medida do SIPAC e colocar múltiplo de 500 g."/>
        <s v="CATMAT -445240- Azul de bromotimol composição química C27H28Br2O5S, aspecto físico: pó, massa molar 624,40 g/mol, característica adicional reagente P.A., número de referência química CAS 76-59-5, entregue em frasco com 25 g. Atenção: observar a unidade de medida do SIPAC e colocar múltiplo de 25 g.&#10;"/>
        <s v="CATMAT -445457- Álcool etílico, aspecto físico: líquido, fórmula química: C2H5OH, peso molecular: 46,07 g/mol, pureza mínima de 99,8%, característica adicional: absoluto, reagente P.A. ACS ISO, número de referência química: CAS 64-17-5"/>
        <s v="CATMAT -445557- Sulfato de magnésio, aspecto físico: cristal incolor, brilhante, inodoro, amargo, fórmula química: mgSO4.7H2O, massa molecular: 246,48 g/mol, pureza mínima de 98%, característica adicional: reagente P.A., número de referência química: CAS 10034-99-8, entregue em frasco de 500 g. Atenção: observar a unidade de medida do SIPAC e colocar múltiplo de 500 g."/>
        <s v="CATMAT -449870- Ácido Etilenodiaminotetracético (Edta) Composição Química: Sal Magnésico Dissódico Hidratado , Massa Molar: 358,50 G/MOL, Fórmula Química: C10H12MgN2Na2O8 · XH2O , Pureza Mínima De 99% , Reagente P.A., Número De Referência Química*: CAS 14402-88-1 , Aspecto Físico&quot;: Pó. Entregue em frasco de 25 g. Atenção: observar a unidade de medida do SIPAC e colocar múltiplo de 25 g."/>
        <s v="CATMAT -451537- Óxido de ferro, aspecto físico: pó, fórmula química: FE2O3 (III), peso molecular: 159,69 g/mol, pureza mínima de 97%, característica adicional: reagente P.A., número de referência química: CAS 1309-37-1, entregue em frasco com 100 g. Atenção: observar a unidade de medida do SIPAC e colocar múltiplo de 100 g."/>
        <s v="CATMAT -452824- Resorcinol, aspecto físico: pó branco, cristalino, odor característico, fórmula química: C6H6O2 (benzeno-1,3-diol), peso molecular: 110,11 g/mol, pureza mínima de 99%, característica adicional: reagente P.A., número de referência química: CAS 108-46-3. Entregue em frasco com 100g. Atenção: observar a unidade de medida do SIPAC e colocar múltiplo de 100 g."/>
        <s v="CATMAT -452940- PADRÃO REFERÊNCIA, TIPO 1 17-ALFA-METILTESTOSTERONA, APRESENTAÇÃO 1 EM 1,2-DIMETOXIETANO, CONCENTRAÇÃO 1 1, NÚMERO DE REFERÊNCIA QUÍMICA CAS 58-18-4"/>
        <s v="CATMAT -452977- Sulfato de amônio, composição (NH4)2SO4, peso molecular 132,14 g/mol, aspectos físicos finos cristais ou grânulos brancos, odor de amônia, pureza mínima de 99%, característica adicional reagente P.A., número de referência química CAS 7783-20-2. fornecimento em frasco com 500 g. Atenção: observar a unidade de medida do SIPAC e colocar múltiplo de 500 g."/>
        <s v="CATMAT -454847- Cloreto de manganês, aspecto físico: pó, peso molecular: 197,91 g,mol, fórmula química: MnCl2.4H2O (tetrahidratado), pureza mínima de 99%, característica adicional: reagente P.A., número de referência química: cas 13446-34-9. Entregue em frasco com 500 g. Atenção: observar a unidade de medida do SIPAC e colocar múltiplo de 500 g."/>
        <s v="CATMAT -461654- Óleo lubrificante bomba de vácuo ISO VG 46"/>
        <s v="CATMAT -461991- SOLUÇÃO TAMPÃO, LEITURA PH 4,0, APLICAÇÃO CALIBRAGEM DE PEAGÔMETRO. FRASCO 500 ML."/>
        <s v="CATMAT -464232- Parafina, aspecto físico histológica, sólida, branca, ponto fusão 58 a 62, apresentação em pastilha"/>
        <s v="CATMAT -473723- Óleo lubrificante bomba de vácuo ISO VG 32"/>
        <s v="CATMAT -486260- Óxido de cobre, aspecto físico:em fio, fórmula química: CuO, peso molecular: 79,55 g/mol, pureza mínima de 99%, número de referência química: CAS 1317-38-0. Atenção: observar a unidade de medida do SIPAC e colocar múltiplo de 500 g."/>
        <s v="CATMAT 327372 - CORANTE, TIPO AZUL ALCIAN, ASPECTO FÍSICO PÓ, CARACTERÍSTICAS ADICIONAIS CI 74240. FRASCO 10 G."/>
        <s v="CATMAT 348273 - ALCOOL PROPÍLICO, ASPECTO FÍSICO LÍQUIDO LÍMPIDO, INCOLOR, ODOR CARACTERÍSTICO, FÓRMULA QUÍMICA CH3(CH2)2OH (1-PROPANOL OU NORMAL), PESO MOLECULAR* 60,10, GRAU DE PUREZA PUREZA MÍNIMA DE 99,5%, CARACTERÍSTICA ADICIONAL REAGENTE P.A., NÚMERO DE REFERÊNCIA QUÍMICA CAS 71-23-8"/>
        <s v="CATMAT 351911- Laurilsulfato de sódio, aspecto físico pó branco ou levemente amarelado, inodoro, fórmula química C12H25NaO4S, massa molecular 288,38 g/mol, pureza mínima de 90%, número de referência química: CAS 151-21-3, entregue em frasco com 500 g. Atenção: observar a unidade de medida do SIPAC e colocar múltiplo de 500 g."/>
        <s v="CATMAT 359009 - NITRATO DE CÁLCIO. ASPECTO FÍSICO: CRISTAL BRANCO, INODORO, HIGROSCÓPICO. FÓRMULA QUÍMICA: CA(NO3)2.4H2O (TETRAHIDRATADO). MASSA MOLECULAR: 236,15 G/MOL. GRAU DE PUREZA: PUREZA MÍNIMA DE 99%. CARACTERÍSTICA ADICIONAL: REAGENTE P.A. NÚMERO DE REFERÊNCIA QUÍMICA: CAS 13477-34-4. Entregue em frasco com 500 g. Atenção: observar a unidade de medida do SIPAC e colocar múltiplo de 500 g."/>
        <s v="CATMAT 412747 - GLICINA, ASPECTO FÍSICO CRISTAL BRANCO, INODORO, PESO MOLECULAR 75,07, FÓRMULA QUÍMICA C2H5NO2, GRAU DE PUREZA PUREZA MÍNIMA DE 98,5%, CARACTERÍSTICA ADICIONAL REAGENTE P.A., NÚMERO DE REFERÊNCIA QUÍMICA CAS 56-40-6. Entregue em frasco de 500 g. Atenção: observar a unidade de medida do SIPAC e colocar múltiplo de 500 g."/>
        <s v="CATMAT 428230 - SOLUÇÃO PADRÃO, TIPO: DE COR, CONCENTRAÇÃO: 500 PPM, CARACTERÍSTICA ADICIONAL: PT-CO, PADRÃO DE COR APHA 500 UC (500 MG PT-CO/L). FRASCO COM 500 ML."/>
        <s v="CATMAT 429539 - SOLUÇÃO PADRÃO, TIPO: DE COR, CONCENTRAÇÃO: 10 PPM, CARACTERÍSTICA ADICIONAL: PT-CO, PADRÃO DE COR APHA 10 UC (10 MG PT-CO/L). FRASCO COM 100 ML."/>
        <s v="CATMAT 429540 - SOLUÇÃO PADRÃO, TIPO: DE COR, CONCENTRAÇÃO: 100 PPM, CARACTERÍSTICA ADICIONAL: PT-CO, PADRÃO DE COR APHA 100 UC (100 MG PT-CO/L). FRASCO COM 100 ML."/>
        <s v="CATMAT: 382986 - Cloreto de prata, aspecto físico pó esbranquiçado, inodoro, fórmula química AgCl, peso molecular 143,32 g/mol, pureza mínima de 99%, característica adicional reagente P.A., número de referência química: CAS 7783-90-6. Entregue em frasco com 25 g. Atenção: observar a unidade de medida do SIPAC e colocar múltiplo de 25 g."/>
        <s v="CLARIFICANTE PARA PISCINA (FRASCO COM 1L)"/>
        <s v="CLORO EM PASTILHA 200G, TRATAMENTO ÁGUA DE PISCINA - HIPOCLORITO DE CÁLCIO, ASPECTO FÍSICO: EM PASTILHA, FÓRMULA QUÍMICA: CA CL2O2 ANIDRO, PESO MOLECULAR: 142,98 G,MOL, TEOR DE PUREZA: PUREZA MÍNIMA DE 98% , TEOR MÍNIMO DE CLORO 65%, NÚMERO DE REFERÊNCIA QUÍMICA: CAS 7778-54-3 (PASTILHA DE 200G)."/>
        <s v="CORANTE- KIT - TRICRÔMIO DE MASSON (COM AZUL DE ANILINA) - CORANTE, TIPO CONJUNTO COLORAÇÃO TRICRÔMIO DE MASSON, COMPOSIÇÃO HEMATOXILINA WEIGERT, ÁCIDO PÍCRICO, COMPONENTES ADICIONAIS FUCSINA MALLORY, AZUL ANILINA MASSON."/>
        <s v="DETERGENTE NEUTRO CONCENTRADO, GALÃO 5L, PRÓPRIO PARA LIMPEZA DE VIDRARIA. CARACTERÍSTICAS: SOLÚVEL EM ÁGUA, DENSIDADE DE 1.07 G/CM3 (20 °C), VALOR DE PH 7,5 (50 G/L, H2O, 20 °C), PONTO DE EBULIÇÃO 100 °C. ESPECIAL PARA MATERIAIS NOBRES COMO: MATERIAIS DE PRECISÃO, QUARTZO, VIDRARIA PARA BACTERIOLOGIA, METAL. VALIDADE MÍNIMA DE 2 ANOS APÓS A ENTREGA."/>
        <s v="RESINA EPÓXI COM ENDURECEDOR, FRASCOS COM 1KG DE CADA COMPONENTE."/>
        <s v="SODA CAUSTICA"/>
        <s v="TRIS ULTRA-PURO - FRASCO COM 500 GRAMAS.( P.M.121.14 / PUREZA&gt;=99,9% A 100% / PONTO DE FUSÃO:169 - 173ºC. TEMPERATURA DE ESTOCAGEM 15 A 30 ºC.) - TRIS ULTRA-PURO 500 GRAMAS&#10;"/>
      </sharedItems>
    </cacheField>
    <cacheField name="CATMAT" numFmtId="0">
      <sharedItems containsMixedTypes="1" containsNumber="1" containsInteger="1" minValue="327373" maxValue="454847" count="242">
        <n v="327373"/>
        <n v="346506"/>
        <n v="346778"/>
        <n v="347156"/>
        <n v="348275"/>
        <n v="351610"/>
        <n v="352777"/>
        <n v="354574"/>
        <n v="360413"/>
        <n v="366478"/>
        <n v="366490"/>
        <n v="374748"/>
        <n v="374874"/>
        <n v="382201"/>
        <n v="400499"/>
        <n v="412804"/>
        <n v="433226"/>
        <n v="449870"/>
        <n v="454847"/>
        <s v="&#9;376987"/>
        <s v="14290"/>
        <s v="150683"/>
        <s v="234417"/>
        <s v="289046"/>
        <s v="289050"/>
        <s v="302856"/>
        <s v="317830"/>
        <s v="326282"/>
        <s v="326284"/>
        <s v="326286"/>
        <s v="326297"/>
        <s v="326299"/>
        <s v="326303"/>
        <s v="326310"/>
        <s v="326812"/>
        <s v="326814"/>
        <s v="326867"/>
        <s v="326882"/>
        <s v="327212"/>
        <s v="327370"/>
        <s v="327372"/>
        <s v="327506"/>
        <s v="327508"/>
        <s v="327534"/>
        <s v="327536"/>
        <s v="328135"/>
        <s v="329774"/>
        <s v="331361"/>
        <s v="334384"/>
        <s v="338662"/>
        <s v="339048"/>
        <s v="345770"/>
        <s v="345903"/>
        <s v="346521"/>
        <s v="346522"/>
        <s v="346660"/>
        <s v="347148"/>
        <s v="347320"/>
        <s v="347336"/>
        <s v="347546"/>
        <s v="347625"/>
        <s v="347723"/>
        <s v="347727"/>
        <s v="347756"/>
        <s v="347797"/>
        <s v="347885"/>
        <s v="347932"/>
        <s v="347934"/>
        <s v="347950"/>
        <s v="347958"/>
        <s v="348040"/>
        <s v="348073"/>
        <s v="348266"/>
        <s v="348267"/>
        <s v="348273"/>
        <s v="348276"/>
        <s v="348679"/>
        <s v="348685"/>
        <s v="348966"/>
        <s v="349837"/>
        <s v="349846"/>
        <s v="350030"/>
        <s v="351911"/>
        <s v="351917"/>
        <s v="352687"/>
        <s v="352710"/>
        <s v="352740"/>
        <s v="352747"/>
        <s v="352749"/>
        <s v="352755"/>
        <s v="352801"/>
        <s v="352843"/>
        <s v="352951"/>
        <s v="352959"/>
        <s v="353039"/>
        <s v="353070"/>
        <s v="353071"/>
        <s v="353076"/>
        <s v="353077"/>
        <s v="353654"/>
        <s v="353673"/>
        <s v="353821"/>
        <s v="354223"/>
        <s v="354392"/>
        <s v="355207"/>
        <s v="355518"/>
        <s v="355578"/>
        <s v="356158"/>
        <s v="356835"/>
        <s v="356968"/>
        <s v="357239"/>
        <s v="357797"/>
        <s v="357866"/>
        <s v="357876"/>
        <s v="357897"/>
        <s v="358297"/>
        <s v="358604"/>
        <s v="358984"/>
        <s v="358986"/>
        <s v="358988"/>
        <s v="359009"/>
        <s v="359223"/>
        <s v="359248"/>
        <s v="359256"/>
        <s v="359282"/>
        <s v="359287"/>
        <s v="359904"/>
        <s v="359946"/>
        <s v="360465"/>
        <s v="360499"/>
        <s v="360537"/>
        <s v="366451"/>
        <s v="366457"/>
        <s v="366468"/>
        <s v="366472"/>
        <s v="366475"/>
        <s v="366501"/>
        <s v="366502"/>
        <s v="368632"/>
        <s v="370013"/>
        <s v="371031"/>
        <s v="374023"/>
        <s v="374389"/>
        <s v="374583"/>
        <s v="374752"/>
        <s v="374769"/>
        <s v="374793"/>
        <s v="374814"/>
        <s v="374920"/>
        <s v="374994"/>
        <s v="375118"/>
        <s v="375316"/>
        <s v="375801"/>
        <s v="376193"/>
        <s v="376244"/>
        <s v="376251"/>
        <s v="376296"/>
        <s v="376404"/>
        <s v="376981"/>
        <s v="377674"/>
        <s v="378141"/>
        <s v="378971"/>
        <s v="380337"/>
        <s v="380384"/>
        <s v="380436"/>
        <s v="380439"/>
        <s v="380786"/>
        <s v="380787"/>
        <s v="380790"/>
        <s v="380869"/>
        <s v="380907"/>
        <s v="381057"/>
        <s v="381272"/>
        <s v="382043"/>
        <s v="382558"/>
        <s v="382986"/>
        <s v="387015"/>
        <s v="388554"/>
        <s v="389270"/>
        <s v="391712"/>
        <s v="391722"/>
        <s v="391953"/>
        <s v="392832"/>
        <s v="393994"/>
        <s v="400844"/>
        <s v="401189"/>
        <s v="403993"/>
        <s v="405780"/>
        <s v="405927"/>
        <s v="407162"/>
        <s v="407914"/>
        <s v="410732"/>
        <s v="412156"/>
        <s v="412588"/>
        <s v="412629"/>
        <s v="412633"/>
        <s v="412635"/>
        <s v="412648"/>
        <s v="412698"/>
        <s v="412728"/>
        <s v="412736"/>
        <s v="412747"/>
        <s v="412981"/>
        <s v="413588"/>
        <s v="414450"/>
        <s v="415235"/>
        <s v="415314"/>
        <s v="415362"/>
        <s v="415707"/>
        <s v="416199"/>
        <s v="416261"/>
        <s v="416321"/>
        <s v="416785"/>
        <s v="418890"/>
        <s v="419337"/>
        <s v="419368"/>
        <s v="420021"/>
        <s v="423240"/>
        <s v="426587"/>
        <s v="428230"/>
        <s v="428569"/>
        <s v="429539"/>
        <s v="429540"/>
        <s v="432146"/>
        <s v="436138"/>
        <s v="436609"/>
        <s v="437110"/>
        <s v="437244"/>
        <s v="444849"/>
        <s v="445240"/>
        <s v="445457"/>
        <s v="445557"/>
        <s v="451537"/>
        <s v="452824"/>
        <s v="452940"/>
        <s v="452977"/>
        <s v="456251"/>
        <s v="461654"/>
        <s v="461991"/>
        <s v="464232"/>
        <s v="473723"/>
        <s v="479327"/>
      </sharedItems>
    </cacheField>
    <cacheField name="COMISSÃO" numFmtId="0">
      <sharedItems count="2">
        <s v="MATERIAIS HOSPITALARES"/>
        <s v="REAGENTES, SOLVENTES E MEIOS DE CULTURA"/>
      </sharedItems>
    </cacheField>
    <cacheField name="TIPIFICAÇÃO" numFmtId="0">
      <sharedItems count="1">
        <s v="MATERIAL DE CONSUMO"/>
      </sharedItems>
    </cacheField>
    <cacheField name="QUANTIDADE" numFmtId="0">
      <sharedItems containsSemiMixedTypes="0" containsString="0" containsNumber="1" containsInteger="1" minValue="1" maxValue="7000" count="41">
        <n v="1"/>
        <n v="2"/>
        <n v="3"/>
        <n v="4"/>
        <n v="5"/>
        <n v="6"/>
        <n v="7"/>
        <n v="8"/>
        <n v="9"/>
        <n v="10"/>
        <n v="12"/>
        <n v="13"/>
        <n v="15"/>
        <n v="16"/>
        <n v="20"/>
        <n v="21"/>
        <n v="24"/>
        <n v="25"/>
        <n v="26"/>
        <n v="30"/>
        <n v="35"/>
        <n v="50"/>
        <n v="53"/>
        <n v="100"/>
        <n v="200"/>
        <n v="250"/>
        <n v="312"/>
        <n v="500"/>
        <n v="502"/>
        <n v="504"/>
        <n v="552"/>
        <n v="1000"/>
        <n v="1001"/>
        <n v="1500"/>
        <n v="1504"/>
        <n v="2000"/>
        <n v="3000"/>
        <n v="3500"/>
        <n v="5000"/>
        <n v="6000"/>
        <n v="7000"/>
      </sharedItems>
    </cacheField>
    <cacheField name="QUANTIDADE SELECIONADA" numFmtId="0">
      <sharedItems containsSemiMixedTypes="0" containsString="0" containsNumber="1" containsInteger="1" minValue="1" maxValue="24000" count="44">
        <n v="1"/>
        <n v="2"/>
        <n v="3"/>
        <n v="4"/>
        <n v="5"/>
        <n v="6"/>
        <n v="7"/>
        <n v="8"/>
        <n v="9"/>
        <n v="10"/>
        <n v="12"/>
        <n v="13"/>
        <n v="15"/>
        <n v="16"/>
        <n v="20"/>
        <n v="21"/>
        <n v="24"/>
        <n v="25"/>
        <n v="30"/>
        <n v="35"/>
        <n v="50"/>
        <n v="53"/>
        <n v="100"/>
        <n v="200"/>
        <n v="250"/>
        <n v="300"/>
        <n v="312"/>
        <n v="500"/>
        <n v="502"/>
        <n v="504"/>
        <n v="552"/>
        <n v="600"/>
        <n v="800"/>
        <n v="1000"/>
        <n v="1500"/>
        <n v="1504"/>
        <n v="2000"/>
        <n v="3000"/>
        <n v="3500"/>
        <n v="5000"/>
        <n v="6000"/>
        <n v="7000"/>
        <n v="13000"/>
        <n v="24000"/>
      </sharedItems>
    </cacheField>
    <cacheField name="VALOR ESTIMADO" numFmtId="0">
      <sharedItems containsSemiMixedTypes="0" containsString="0" containsNumber="1" minValue="0.02" maxValue="2800" count="182">
        <n v="0.02"/>
        <n v="0.03"/>
        <n v="0.04"/>
        <n v="0.05"/>
        <n v="0.06"/>
        <n v="0.07"/>
        <n v="0.08"/>
        <n v="0.09"/>
        <n v="0.1"/>
        <n v="0.11"/>
        <n v="0.12"/>
        <n v="0.13"/>
        <n v="0.14"/>
        <n v="0.15"/>
        <n v="0.18"/>
        <n v="0.2"/>
        <n v="0.22"/>
        <n v="0.25"/>
        <n v="0.29"/>
        <n v="0.3"/>
        <n v="0.32"/>
        <n v="0.34"/>
        <n v="0.35"/>
        <n v="0.5"/>
        <n v="0.54"/>
        <n v="0.58"/>
        <n v="0.61"/>
        <n v="0.73"/>
        <n v="0.75"/>
        <n v="1"/>
        <n v="1.05"/>
        <n v="1.2"/>
        <n v="1.44"/>
        <n v="1.45"/>
        <n v="2"/>
        <n v="2.17"/>
        <n v="2.31"/>
        <n v="2.8"/>
        <n v="2.84"/>
        <n v="2.99"/>
        <n v="4.31"/>
        <n v="4.58"/>
        <n v="5.11"/>
        <n v="6"/>
        <n v="7"/>
        <n v="7.5"/>
        <n v="7.99"/>
        <n v="8.99"/>
        <n v="10"/>
        <n v="11.21"/>
        <n v="11.95"/>
        <n v="13"/>
        <n v="15"/>
        <n v="16"/>
        <n v="16.7"/>
        <n v="17.92"/>
        <n v="18.4"/>
        <n v="19"/>
        <n v="19.75"/>
        <n v="20"/>
        <n v="21"/>
        <n v="21.05"/>
        <n v="21.63"/>
        <n v="22.78"/>
        <n v="22.96"/>
        <n v="25"/>
        <n v="25.67"/>
        <n v="26.35"/>
        <n v="29"/>
        <n v="29.54"/>
        <n v="29.95"/>
        <n v="30"/>
        <n v="31.74"/>
        <n v="33.33"/>
        <n v="38.75"/>
        <n v="39.13"/>
        <n v="39.91"/>
        <n v="39.99"/>
        <n v="40"/>
        <n v="41.33"/>
        <n v="42.3"/>
        <n v="43.46"/>
        <n v="44"/>
        <n v="45"/>
        <n v="47"/>
        <n v="47.45"/>
        <n v="47.67"/>
        <n v="49"/>
        <n v="50"/>
        <n v="51"/>
        <n v="51.59"/>
        <n v="51.72"/>
        <n v="53"/>
        <n v="60"/>
        <n v="62.11"/>
        <n v="65"/>
        <n v="66"/>
        <n v="70.45"/>
        <n v="71.56"/>
        <n v="75"/>
        <n v="77"/>
        <n v="77.3"/>
        <n v="79"/>
        <n v="80"/>
        <n v="82.35"/>
        <n v="85"/>
        <n v="87.34"/>
        <n v="90"/>
        <n v="93.75"/>
        <n v="94.42"/>
        <n v="95"/>
        <n v="98"/>
        <n v="99.18"/>
        <n v="100"/>
        <n v="103.26"/>
        <n v="105"/>
        <n v="112.5"/>
        <n v="114.69"/>
        <n v="117.72"/>
        <n v="120"/>
        <n v="122.53"/>
        <n v="124.49"/>
        <n v="125"/>
        <n v="130"/>
        <n v="133"/>
        <n v="133.33"/>
        <n v="136"/>
        <n v="138.65"/>
        <n v="139.9"/>
        <n v="140"/>
        <n v="150"/>
        <n v="152.27"/>
        <n v="157.42"/>
        <n v="162"/>
        <n v="173"/>
        <n v="177.14"/>
        <n v="177.99"/>
        <n v="193"/>
        <n v="195"/>
        <n v="198.6"/>
        <n v="230"/>
        <n v="240"/>
        <n v="241.81"/>
        <n v="242"/>
        <n v="246.74"/>
        <n v="250"/>
        <n v="252"/>
        <n v="266.55"/>
        <n v="280"/>
        <n v="316"/>
        <n v="320"/>
        <n v="334"/>
        <n v="346.78"/>
        <n v="350"/>
        <n v="355"/>
        <n v="359.3"/>
        <n v="375"/>
        <n v="399.98"/>
        <n v="421"/>
        <n v="433.5"/>
        <n v="433.77"/>
        <n v="445"/>
        <n v="459"/>
        <n v="470.24"/>
        <n v="480"/>
        <n v="485"/>
        <n v="487"/>
        <n v="500"/>
        <n v="521"/>
        <n v="560"/>
        <n v="570"/>
        <n v="576.05"/>
        <n v="600"/>
        <n v="609"/>
        <n v="660.62"/>
        <n v="710"/>
        <n v="714"/>
        <n v="750"/>
        <n v="750.96"/>
        <n v="900"/>
        <n v="976.16"/>
        <n v="2800"/>
      </sharedItems>
    </cacheField>
    <cacheField name="TOTAL" numFmtId="0">
      <sharedItems containsSemiMixedTypes="0" containsString="0" containsNumber="1" minValue="4.62" maxValue="60000" count="192">
        <n v="4.62"/>
        <n v="10"/>
        <n v="15"/>
        <n v="16.7"/>
        <n v="17.92"/>
        <n v="19.75"/>
        <n v="20"/>
        <n v="21"/>
        <n v="21.05"/>
        <n v="25"/>
        <n v="26.35"/>
        <n v="29"/>
        <n v="30"/>
        <n v="30.24"/>
        <n v="31.74"/>
        <n v="36.8"/>
        <n v="38"/>
        <n v="39.13"/>
        <n v="41.33"/>
        <n v="45"/>
        <n v="45.92"/>
        <n v="47"/>
        <n v="50"/>
        <n v="51"/>
        <n v="55"/>
        <n v="60"/>
        <n v="65"/>
        <n v="66"/>
        <n v="70"/>
        <n v="70.45"/>
        <n v="71.56"/>
        <n v="75"/>
        <n v="80"/>
        <n v="84"/>
        <n v="84.6"/>
        <n v="87.34"/>
        <n v="90"/>
        <n v="91.12"/>
        <n v="95"/>
        <n v="95.34"/>
        <n v="95.88"/>
        <n v="98"/>
        <n v="99.18"/>
        <n v="100"/>
        <n v="102.68"/>
        <n v="103.26"/>
        <n v="103.44"/>
        <n v="105.28"/>
        <n v="107.88"/>
        <n v="108.5"/>
        <n v="110"/>
        <n v="114.69"/>
        <n v="117.72"/>
        <n v="119.73"/>
        <n v="120"/>
        <n v="122.53"/>
        <n v="124.49"/>
        <n v="133.33"/>
        <n v="135"/>
        <n v="138.65"/>
        <n v="139.9"/>
        <n v="140"/>
        <n v="142.35"/>
        <n v="145"/>
        <n v="147.7"/>
        <n v="150"/>
        <n v="151.2"/>
        <n v="152.5"/>
        <n v="157.42"/>
        <n v="158"/>
        <n v="160"/>
        <n v="162"/>
        <n v="165"/>
        <n v="170"/>
        <n v="175"/>
        <n v="177.99"/>
        <n v="179.7"/>
        <n v="180"/>
        <n v="187.5"/>
        <n v="193"/>
        <n v="195"/>
        <n v="198.6"/>
        <n v="200"/>
        <n v="208"/>
        <n v="210"/>
        <n v="225"/>
        <n v="230"/>
        <n v="239.94"/>
        <n v="240"/>
        <n v="241.81"/>
        <n v="242"/>
        <n v="245"/>
        <n v="246.74"/>
        <n v="247.05"/>
        <n v="248.44"/>
        <n v="250"/>
        <n v="252"/>
        <n v="257.95"/>
        <n v="260"/>
        <n v="262.5"/>
        <n v="264"/>
        <n v="266"/>
        <n v="266.55"/>
        <n v="269.04"/>
        <n v="273"/>
        <n v="280"/>
        <n v="288"/>
        <n v="290"/>
        <n v="298.75"/>
        <n v="300"/>
        <n v="320"/>
        <n v="334"/>
        <n v="346.78"/>
        <n v="347.68"/>
        <n v="350"/>
        <n v="355"/>
        <n v="359.3"/>
        <n v="362.5"/>
        <n v="365"/>
        <n v="375"/>
        <n v="377"/>
        <n v="377.68"/>
        <n v="399.98"/>
        <n v="400"/>
        <n v="421"/>
        <n v="433.5"/>
        <n v="433.77"/>
        <n v="445"/>
        <n v="450"/>
        <n v="458"/>
        <n v="459"/>
        <n v="462"/>
        <n v="470"/>
        <n v="470.24"/>
        <n v="480"/>
        <n v="485"/>
        <n v="487"/>
        <n v="500"/>
        <n v="510"/>
        <n v="511"/>
        <n v="520"/>
        <n v="521"/>
        <n v="525"/>
        <n v="531.42"/>
        <n v="560"/>
        <n v="562.38"/>
        <n v="570"/>
        <n v="576.05"/>
        <n v="600"/>
        <n v="609"/>
        <n v="695.7"/>
        <n v="700"/>
        <n v="710"/>
        <n v="714"/>
        <n v="720"/>
        <n v="750"/>
        <n v="750.96"/>
        <n v="840"/>
        <n v="952"/>
        <n v="960"/>
        <n v="976.16"/>
        <n v="1000"/>
        <n v="1050"/>
        <n v="1060"/>
        <n v="1113"/>
        <n v="1251"/>
        <n v="1356.25"/>
        <n v="1400"/>
        <n v="1420"/>
        <n v="1440"/>
        <n v="1495"/>
        <n v="1500"/>
        <n v="1522.7"/>
        <n v="1580"/>
        <n v="1666.5"/>
        <n v="1800"/>
        <n v="1920"/>
        <n v="1981.86"/>
        <n v="2000"/>
        <n v="2155"/>
        <n v="2595"/>
        <n v="3240"/>
        <n v="5520"/>
        <n v="5600"/>
        <n v="9360"/>
        <n v="10040"/>
        <n v="15000"/>
        <n v="16016"/>
        <n v="20000"/>
        <n v="23500"/>
        <n v="35000"/>
        <n v="60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2">
  <r>
    <x v="7"/>
    <x v="217"/>
    <x v="234"/>
    <x v="1"/>
    <x v="0"/>
    <x v="0"/>
    <x v="33"/>
    <x v="153"/>
    <x v="114"/>
  </r>
  <r>
    <x v="5"/>
    <x v="131"/>
    <x v="131"/>
    <x v="1"/>
    <x v="0"/>
    <x v="27"/>
    <x v="27"/>
    <x v="12"/>
    <x v="28"/>
  </r>
  <r>
    <x v="2"/>
    <x v="22"/>
    <x v="101"/>
    <x v="1"/>
    <x v="0"/>
    <x v="1"/>
    <x v="36"/>
    <x v="102"/>
    <x v="69"/>
  </r>
  <r>
    <x v="17"/>
    <x v="32"/>
    <x v="167"/>
    <x v="1"/>
    <x v="0"/>
    <x v="5"/>
    <x v="4"/>
    <x v="69"/>
    <x v="64"/>
  </r>
  <r>
    <x v="5"/>
    <x v="162"/>
    <x v="164"/>
    <x v="1"/>
    <x v="0"/>
    <x v="31"/>
    <x v="33"/>
    <x v="8"/>
    <x v="43"/>
  </r>
  <r>
    <x v="5"/>
    <x v="164"/>
    <x v="166"/>
    <x v="1"/>
    <x v="0"/>
    <x v="21"/>
    <x v="20"/>
    <x v="73"/>
    <x v="174"/>
  </r>
  <r>
    <x v="5"/>
    <x v="68"/>
    <x v="52"/>
    <x v="1"/>
    <x v="0"/>
    <x v="15"/>
    <x v="15"/>
    <x v="92"/>
    <x v="164"/>
  </r>
  <r>
    <x v="5"/>
    <x v="72"/>
    <x v="56"/>
    <x v="1"/>
    <x v="0"/>
    <x v="14"/>
    <x v="14"/>
    <x v="113"/>
    <x v="178"/>
  </r>
  <r>
    <x v="5"/>
    <x v="189"/>
    <x v="197"/>
    <x v="1"/>
    <x v="0"/>
    <x v="11"/>
    <x v="11"/>
    <x v="60"/>
    <x v="104"/>
  </r>
  <r>
    <x v="5"/>
    <x v="100"/>
    <x v="92"/>
    <x v="1"/>
    <x v="0"/>
    <x v="0"/>
    <x v="27"/>
    <x v="144"/>
    <x v="92"/>
  </r>
  <r>
    <x v="5"/>
    <x v="155"/>
    <x v="156"/>
    <x v="1"/>
    <x v="0"/>
    <x v="27"/>
    <x v="27"/>
    <x v="78"/>
    <x v="188"/>
  </r>
  <r>
    <x v="5"/>
    <x v="205"/>
    <x v="218"/>
    <x v="1"/>
    <x v="0"/>
    <x v="38"/>
    <x v="39"/>
    <x v="17"/>
    <x v="165"/>
  </r>
  <r>
    <x v="5"/>
    <x v="195"/>
    <x v="205"/>
    <x v="1"/>
    <x v="0"/>
    <x v="17"/>
    <x v="17"/>
    <x v="93"/>
    <x v="171"/>
  </r>
  <r>
    <x v="5"/>
    <x v="93"/>
    <x v="5"/>
    <x v="1"/>
    <x v="0"/>
    <x v="27"/>
    <x v="27"/>
    <x v="2"/>
    <x v="6"/>
  </r>
  <r>
    <x v="4"/>
    <x v="74"/>
    <x v="58"/>
    <x v="1"/>
    <x v="0"/>
    <x v="5"/>
    <x v="5"/>
    <x v="77"/>
    <x v="87"/>
  </r>
  <r>
    <x v="5"/>
    <x v="33"/>
    <x v="181"/>
    <x v="1"/>
    <x v="0"/>
    <x v="27"/>
    <x v="27"/>
    <x v="38"/>
    <x v="168"/>
  </r>
  <r>
    <x v="5"/>
    <x v="16"/>
    <x v="84"/>
    <x v="1"/>
    <x v="0"/>
    <x v="0"/>
    <x v="0"/>
    <x v="139"/>
    <x v="81"/>
  </r>
  <r>
    <x v="1"/>
    <x v="95"/>
    <x v="85"/>
    <x v="1"/>
    <x v="0"/>
    <x v="0"/>
    <x v="0"/>
    <x v="99"/>
    <x v="31"/>
  </r>
  <r>
    <x v="20"/>
    <x v="69"/>
    <x v="1"/>
    <x v="1"/>
    <x v="0"/>
    <x v="2"/>
    <x v="2"/>
    <x v="103"/>
    <x v="88"/>
  </r>
  <r>
    <x v="1"/>
    <x v="73"/>
    <x v="57"/>
    <x v="1"/>
    <x v="0"/>
    <x v="0"/>
    <x v="0"/>
    <x v="132"/>
    <x v="68"/>
  </r>
  <r>
    <x v="5"/>
    <x v="10"/>
    <x v="3"/>
    <x v="1"/>
    <x v="0"/>
    <x v="27"/>
    <x v="27"/>
    <x v="40"/>
    <x v="179"/>
  </r>
  <r>
    <x v="19"/>
    <x v="132"/>
    <x v="132"/>
    <x v="1"/>
    <x v="0"/>
    <x v="0"/>
    <x v="0"/>
    <x v="180"/>
    <x v="160"/>
  </r>
  <r>
    <x v="15"/>
    <x v="109"/>
    <x v="105"/>
    <x v="1"/>
    <x v="0"/>
    <x v="4"/>
    <x v="3"/>
    <x v="151"/>
    <x v="111"/>
  </r>
  <r>
    <x v="5"/>
    <x v="1"/>
    <x v="178"/>
    <x v="1"/>
    <x v="0"/>
    <x v="1"/>
    <x v="1"/>
    <x v="123"/>
    <x v="98"/>
  </r>
  <r>
    <x v="2"/>
    <x v="161"/>
    <x v="163"/>
    <x v="1"/>
    <x v="0"/>
    <x v="3"/>
    <x v="3"/>
    <x v="103"/>
    <x v="110"/>
  </r>
  <r>
    <x v="19"/>
    <x v="36"/>
    <x v="200"/>
    <x v="1"/>
    <x v="0"/>
    <x v="27"/>
    <x v="27"/>
    <x v="21"/>
    <x v="73"/>
  </r>
  <r>
    <x v="1"/>
    <x v="173"/>
    <x v="176"/>
    <x v="1"/>
    <x v="0"/>
    <x v="2"/>
    <x v="2"/>
    <x v="174"/>
    <x v="177"/>
  </r>
  <r>
    <x v="15"/>
    <x v="49"/>
    <x v="29"/>
    <x v="1"/>
    <x v="0"/>
    <x v="0"/>
    <x v="0"/>
    <x v="176"/>
    <x v="153"/>
  </r>
  <r>
    <x v="18"/>
    <x v="34"/>
    <x v="188"/>
    <x v="1"/>
    <x v="0"/>
    <x v="0"/>
    <x v="0"/>
    <x v="165"/>
    <x v="135"/>
  </r>
  <r>
    <x v="18"/>
    <x v="6"/>
    <x v="35"/>
    <x v="1"/>
    <x v="0"/>
    <x v="0"/>
    <x v="0"/>
    <x v="167"/>
    <x v="137"/>
  </r>
  <r>
    <x v="18"/>
    <x v="5"/>
    <x v="28"/>
    <x v="1"/>
    <x v="0"/>
    <x v="0"/>
    <x v="0"/>
    <x v="170"/>
    <x v="146"/>
  </r>
  <r>
    <x v="18"/>
    <x v="48"/>
    <x v="27"/>
    <x v="1"/>
    <x v="0"/>
    <x v="0"/>
    <x v="0"/>
    <x v="137"/>
    <x v="79"/>
  </r>
  <r>
    <x v="18"/>
    <x v="50"/>
    <x v="30"/>
    <x v="1"/>
    <x v="0"/>
    <x v="0"/>
    <x v="0"/>
    <x v="154"/>
    <x v="115"/>
  </r>
  <r>
    <x v="18"/>
    <x v="51"/>
    <x v="31"/>
    <x v="1"/>
    <x v="0"/>
    <x v="0"/>
    <x v="0"/>
    <x v="168"/>
    <x v="141"/>
  </r>
  <r>
    <x v="18"/>
    <x v="54"/>
    <x v="34"/>
    <x v="1"/>
    <x v="0"/>
    <x v="0"/>
    <x v="0"/>
    <x v="159"/>
    <x v="125"/>
  </r>
  <r>
    <x v="18"/>
    <x v="52"/>
    <x v="32"/>
    <x v="1"/>
    <x v="0"/>
    <x v="0"/>
    <x v="0"/>
    <x v="166"/>
    <x v="136"/>
  </r>
  <r>
    <x v="18"/>
    <x v="55"/>
    <x v="36"/>
    <x v="1"/>
    <x v="0"/>
    <x v="0"/>
    <x v="0"/>
    <x v="169"/>
    <x v="144"/>
  </r>
  <r>
    <x v="10"/>
    <x v="4"/>
    <x v="45"/>
    <x v="0"/>
    <x v="0"/>
    <x v="1"/>
    <x v="1"/>
    <x v="181"/>
    <x v="183"/>
  </r>
  <r>
    <x v="18"/>
    <x v="176"/>
    <x v="182"/>
    <x v="1"/>
    <x v="0"/>
    <x v="0"/>
    <x v="0"/>
    <x v="138"/>
    <x v="80"/>
  </r>
  <r>
    <x v="5"/>
    <x v="58"/>
    <x v="39"/>
    <x v="1"/>
    <x v="0"/>
    <x v="20"/>
    <x v="19"/>
    <x v="74"/>
    <x v="166"/>
  </r>
  <r>
    <x v="19"/>
    <x v="165"/>
    <x v="168"/>
    <x v="1"/>
    <x v="0"/>
    <x v="1"/>
    <x v="1"/>
    <x v="86"/>
    <x v="39"/>
  </r>
  <r>
    <x v="0"/>
    <x v="181"/>
    <x v="187"/>
    <x v="1"/>
    <x v="0"/>
    <x v="10"/>
    <x v="10"/>
    <x v="46"/>
    <x v="40"/>
  </r>
  <r>
    <x v="5"/>
    <x v="25"/>
    <x v="110"/>
    <x v="1"/>
    <x v="0"/>
    <x v="22"/>
    <x v="21"/>
    <x v="59"/>
    <x v="163"/>
  </r>
  <r>
    <x v="0"/>
    <x v="212"/>
    <x v="230"/>
    <x v="1"/>
    <x v="0"/>
    <x v="9"/>
    <x v="9"/>
    <x v="83"/>
    <x v="128"/>
  </r>
  <r>
    <x v="2"/>
    <x v="40"/>
    <x v="228"/>
    <x v="1"/>
    <x v="0"/>
    <x v="10"/>
    <x v="10"/>
    <x v="47"/>
    <x v="48"/>
  </r>
  <r>
    <x v="15"/>
    <x v="86"/>
    <x v="4"/>
    <x v="1"/>
    <x v="0"/>
    <x v="2"/>
    <x v="0"/>
    <x v="55"/>
    <x v="4"/>
  </r>
  <r>
    <x v="5"/>
    <x v="87"/>
    <x v="75"/>
    <x v="1"/>
    <x v="0"/>
    <x v="12"/>
    <x v="12"/>
    <x v="134"/>
    <x v="180"/>
  </r>
  <r>
    <x v="5"/>
    <x v="12"/>
    <x v="72"/>
    <x v="1"/>
    <x v="0"/>
    <x v="13"/>
    <x v="13"/>
    <x v="51"/>
    <x v="83"/>
  </r>
  <r>
    <x v="5"/>
    <x v="13"/>
    <x v="73"/>
    <x v="1"/>
    <x v="0"/>
    <x v="15"/>
    <x v="15"/>
    <x v="65"/>
    <x v="142"/>
  </r>
  <r>
    <x v="5"/>
    <x v="226"/>
    <x v="74"/>
    <x v="1"/>
    <x v="0"/>
    <x v="0"/>
    <x v="0"/>
    <x v="121"/>
    <x v="56"/>
  </r>
  <r>
    <x v="5"/>
    <x v="60"/>
    <x v="41"/>
    <x v="1"/>
    <x v="0"/>
    <x v="8"/>
    <x v="8"/>
    <x v="101"/>
    <x v="150"/>
  </r>
  <r>
    <x v="14"/>
    <x v="153"/>
    <x v="154"/>
    <x v="1"/>
    <x v="0"/>
    <x v="23"/>
    <x v="22"/>
    <x v="34"/>
    <x v="82"/>
  </r>
  <r>
    <x v="5"/>
    <x v="39"/>
    <x v="223"/>
    <x v="1"/>
    <x v="0"/>
    <x v="40"/>
    <x v="41"/>
    <x v="3"/>
    <x v="114"/>
  </r>
  <r>
    <x v="14"/>
    <x v="89"/>
    <x v="78"/>
    <x v="1"/>
    <x v="0"/>
    <x v="0"/>
    <x v="0"/>
    <x v="111"/>
    <x v="41"/>
  </r>
  <r>
    <x v="7"/>
    <x v="67"/>
    <x v="50"/>
    <x v="1"/>
    <x v="0"/>
    <x v="0"/>
    <x v="0"/>
    <x v="150"/>
    <x v="110"/>
  </r>
  <r>
    <x v="16"/>
    <x v="225"/>
    <x v="40"/>
    <x v="1"/>
    <x v="0"/>
    <x v="0"/>
    <x v="0"/>
    <x v="178"/>
    <x v="156"/>
  </r>
  <r>
    <x v="7"/>
    <x v="71"/>
    <x v="55"/>
    <x v="1"/>
    <x v="0"/>
    <x v="0"/>
    <x v="0"/>
    <x v="177"/>
    <x v="155"/>
  </r>
  <r>
    <x v="5"/>
    <x v="211"/>
    <x v="229"/>
    <x v="1"/>
    <x v="0"/>
    <x v="21"/>
    <x v="20"/>
    <x v="35"/>
    <x v="49"/>
  </r>
  <r>
    <x v="5"/>
    <x v="7"/>
    <x v="46"/>
    <x v="1"/>
    <x v="0"/>
    <x v="0"/>
    <x v="0"/>
    <x v="161"/>
    <x v="127"/>
  </r>
  <r>
    <x v="5"/>
    <x v="64"/>
    <x v="47"/>
    <x v="1"/>
    <x v="0"/>
    <x v="10"/>
    <x v="10"/>
    <x v="52"/>
    <x v="77"/>
  </r>
  <r>
    <x v="5"/>
    <x v="179"/>
    <x v="185"/>
    <x v="1"/>
    <x v="0"/>
    <x v="30"/>
    <x v="30"/>
    <x v="48"/>
    <x v="182"/>
  </r>
  <r>
    <x v="5"/>
    <x v="133"/>
    <x v="133"/>
    <x v="1"/>
    <x v="0"/>
    <x v="34"/>
    <x v="35"/>
    <x v="5"/>
    <x v="47"/>
  </r>
  <r>
    <x v="5"/>
    <x v="175"/>
    <x v="180"/>
    <x v="1"/>
    <x v="0"/>
    <x v="0"/>
    <x v="22"/>
    <x v="171"/>
    <x v="147"/>
  </r>
  <r>
    <x v="7"/>
    <x v="125"/>
    <x v="126"/>
    <x v="1"/>
    <x v="0"/>
    <x v="4"/>
    <x v="4"/>
    <x v="103"/>
    <x v="123"/>
  </r>
  <r>
    <x v="20"/>
    <x v="171"/>
    <x v="13"/>
    <x v="1"/>
    <x v="0"/>
    <x v="7"/>
    <x v="32"/>
    <x v="107"/>
    <x v="154"/>
  </r>
  <r>
    <x v="8"/>
    <x v="76"/>
    <x v="60"/>
    <x v="1"/>
    <x v="0"/>
    <x v="0"/>
    <x v="24"/>
    <x v="71"/>
    <x v="12"/>
  </r>
  <r>
    <x v="18"/>
    <x v="56"/>
    <x v="37"/>
    <x v="1"/>
    <x v="0"/>
    <x v="0"/>
    <x v="0"/>
    <x v="164"/>
    <x v="134"/>
  </r>
  <r>
    <x v="18"/>
    <x v="198"/>
    <x v="208"/>
    <x v="1"/>
    <x v="0"/>
    <x v="0"/>
    <x v="0"/>
    <x v="145"/>
    <x v="95"/>
  </r>
  <r>
    <x v="18"/>
    <x v="53"/>
    <x v="33"/>
    <x v="1"/>
    <x v="0"/>
    <x v="0"/>
    <x v="0"/>
    <x v="158"/>
    <x v="124"/>
  </r>
  <r>
    <x v="5"/>
    <x v="204"/>
    <x v="217"/>
    <x v="1"/>
    <x v="0"/>
    <x v="0"/>
    <x v="17"/>
    <x v="113"/>
    <x v="43"/>
  </r>
  <r>
    <x v="5"/>
    <x v="30"/>
    <x v="151"/>
    <x v="1"/>
    <x v="0"/>
    <x v="27"/>
    <x v="27"/>
    <x v="22"/>
    <x v="74"/>
  </r>
  <r>
    <x v="14"/>
    <x v="107"/>
    <x v="102"/>
    <x v="1"/>
    <x v="0"/>
    <x v="25"/>
    <x v="24"/>
    <x v="10"/>
    <x v="12"/>
  </r>
  <r>
    <x v="1"/>
    <x v="188"/>
    <x v="196"/>
    <x v="1"/>
    <x v="0"/>
    <x v="27"/>
    <x v="27"/>
    <x v="1"/>
    <x v="2"/>
  </r>
  <r>
    <x v="14"/>
    <x v="81"/>
    <x v="66"/>
    <x v="1"/>
    <x v="0"/>
    <x v="0"/>
    <x v="27"/>
    <x v="147"/>
    <x v="102"/>
  </r>
  <r>
    <x v="14"/>
    <x v="82"/>
    <x v="67"/>
    <x v="1"/>
    <x v="0"/>
    <x v="0"/>
    <x v="0"/>
    <x v="136"/>
    <x v="75"/>
  </r>
  <r>
    <x v="5"/>
    <x v="26"/>
    <x v="122"/>
    <x v="1"/>
    <x v="0"/>
    <x v="16"/>
    <x v="43"/>
    <x v="93"/>
    <x v="169"/>
  </r>
  <r>
    <x v="14"/>
    <x v="83"/>
    <x v="68"/>
    <x v="1"/>
    <x v="0"/>
    <x v="27"/>
    <x v="27"/>
    <x v="3"/>
    <x v="9"/>
  </r>
  <r>
    <x v="14"/>
    <x v="194"/>
    <x v="204"/>
    <x v="1"/>
    <x v="0"/>
    <x v="0"/>
    <x v="33"/>
    <x v="60"/>
    <x v="7"/>
  </r>
  <r>
    <x v="5"/>
    <x v="84"/>
    <x v="69"/>
    <x v="1"/>
    <x v="0"/>
    <x v="39"/>
    <x v="40"/>
    <x v="24"/>
    <x v="181"/>
  </r>
  <r>
    <x v="5"/>
    <x v="94"/>
    <x v="83"/>
    <x v="1"/>
    <x v="0"/>
    <x v="2"/>
    <x v="2"/>
    <x v="135"/>
    <x v="143"/>
  </r>
  <r>
    <x v="5"/>
    <x v="85"/>
    <x v="71"/>
    <x v="1"/>
    <x v="0"/>
    <x v="33"/>
    <x v="34"/>
    <x v="9"/>
    <x v="72"/>
  </r>
  <r>
    <x v="14"/>
    <x v="37"/>
    <x v="213"/>
    <x v="1"/>
    <x v="0"/>
    <x v="27"/>
    <x v="27"/>
    <x v="14"/>
    <x v="36"/>
  </r>
  <r>
    <x v="5"/>
    <x v="182"/>
    <x v="189"/>
    <x v="1"/>
    <x v="0"/>
    <x v="31"/>
    <x v="33"/>
    <x v="8"/>
    <x v="43"/>
  </r>
  <r>
    <x v="1"/>
    <x v="98"/>
    <x v="90"/>
    <x v="1"/>
    <x v="0"/>
    <x v="27"/>
    <x v="27"/>
    <x v="0"/>
    <x v="1"/>
  </r>
  <r>
    <x v="5"/>
    <x v="163"/>
    <x v="165"/>
    <x v="1"/>
    <x v="0"/>
    <x v="0"/>
    <x v="27"/>
    <x v="140"/>
    <x v="86"/>
  </r>
  <r>
    <x v="14"/>
    <x v="110"/>
    <x v="106"/>
    <x v="1"/>
    <x v="0"/>
    <x v="1"/>
    <x v="1"/>
    <x v="116"/>
    <x v="85"/>
  </r>
  <r>
    <x v="1"/>
    <x v="187"/>
    <x v="195"/>
    <x v="1"/>
    <x v="0"/>
    <x v="0"/>
    <x v="0"/>
    <x v="75"/>
    <x v="17"/>
  </r>
  <r>
    <x v="14"/>
    <x v="143"/>
    <x v="143"/>
    <x v="1"/>
    <x v="0"/>
    <x v="0"/>
    <x v="24"/>
    <x v="145"/>
    <x v="95"/>
  </r>
  <r>
    <x v="7"/>
    <x v="177"/>
    <x v="14"/>
    <x v="1"/>
    <x v="0"/>
    <x v="0"/>
    <x v="25"/>
    <x v="150"/>
    <x v="110"/>
  </r>
  <r>
    <x v="5"/>
    <x v="209"/>
    <x v="225"/>
    <x v="1"/>
    <x v="0"/>
    <x v="29"/>
    <x v="29"/>
    <x v="19"/>
    <x v="66"/>
  </r>
  <r>
    <x v="7"/>
    <x v="196"/>
    <x v="206"/>
    <x v="1"/>
    <x v="0"/>
    <x v="27"/>
    <x v="27"/>
    <x v="15"/>
    <x v="43"/>
  </r>
  <r>
    <x v="5"/>
    <x v="112"/>
    <x v="108"/>
    <x v="1"/>
    <x v="0"/>
    <x v="3"/>
    <x v="36"/>
    <x v="109"/>
    <x v="121"/>
  </r>
  <r>
    <x v="14"/>
    <x v="20"/>
    <x v="93"/>
    <x v="1"/>
    <x v="0"/>
    <x v="25"/>
    <x v="24"/>
    <x v="33"/>
    <x v="117"/>
  </r>
  <r>
    <x v="5"/>
    <x v="130"/>
    <x v="130"/>
    <x v="1"/>
    <x v="0"/>
    <x v="27"/>
    <x v="27"/>
    <x v="18"/>
    <x v="63"/>
  </r>
  <r>
    <x v="7"/>
    <x v="219"/>
    <x v="18"/>
    <x v="1"/>
    <x v="0"/>
    <x v="0"/>
    <x v="27"/>
    <x v="145"/>
    <x v="95"/>
  </r>
  <r>
    <x v="1"/>
    <x v="19"/>
    <x v="6"/>
    <x v="1"/>
    <x v="0"/>
    <x v="36"/>
    <x v="37"/>
    <x v="5"/>
    <x v="84"/>
  </r>
  <r>
    <x v="5"/>
    <x v="233"/>
    <x v="175"/>
    <x v="1"/>
    <x v="0"/>
    <x v="0"/>
    <x v="17"/>
    <x v="145"/>
    <x v="95"/>
  </r>
  <r>
    <x v="5"/>
    <x v="134"/>
    <x v="134"/>
    <x v="1"/>
    <x v="0"/>
    <x v="7"/>
    <x v="7"/>
    <x v="141"/>
    <x v="176"/>
  </r>
  <r>
    <x v="14"/>
    <x v="129"/>
    <x v="129"/>
    <x v="1"/>
    <x v="0"/>
    <x v="25"/>
    <x v="24"/>
    <x v="2"/>
    <x v="1"/>
  </r>
  <r>
    <x v="7"/>
    <x v="154"/>
    <x v="155"/>
    <x v="1"/>
    <x v="0"/>
    <x v="19"/>
    <x v="22"/>
    <x v="37"/>
    <x v="33"/>
  </r>
  <r>
    <x v="17"/>
    <x v="201"/>
    <x v="214"/>
    <x v="1"/>
    <x v="0"/>
    <x v="1"/>
    <x v="20"/>
    <x v="146"/>
    <x v="96"/>
  </r>
  <r>
    <x v="5"/>
    <x v="166"/>
    <x v="169"/>
    <x v="1"/>
    <x v="0"/>
    <x v="6"/>
    <x v="6"/>
    <x v="119"/>
    <x v="157"/>
  </r>
  <r>
    <x v="8"/>
    <x v="148"/>
    <x v="12"/>
    <x v="1"/>
    <x v="0"/>
    <x v="0"/>
    <x v="22"/>
    <x v="84"/>
    <x v="21"/>
  </r>
  <r>
    <x v="13"/>
    <x v="63"/>
    <x v="44"/>
    <x v="1"/>
    <x v="0"/>
    <x v="4"/>
    <x v="4"/>
    <x v="87"/>
    <x v="91"/>
  </r>
  <r>
    <x v="3"/>
    <x v="62"/>
    <x v="43"/>
    <x v="1"/>
    <x v="0"/>
    <x v="0"/>
    <x v="0"/>
    <x v="117"/>
    <x v="51"/>
  </r>
  <r>
    <x v="15"/>
    <x v="236"/>
    <x v="138"/>
    <x v="1"/>
    <x v="0"/>
    <x v="1"/>
    <x v="0"/>
    <x v="152"/>
    <x v="112"/>
  </r>
  <r>
    <x v="5"/>
    <x v="123"/>
    <x v="123"/>
    <x v="1"/>
    <x v="0"/>
    <x v="27"/>
    <x v="27"/>
    <x v="120"/>
    <x v="55"/>
  </r>
  <r>
    <x v="5"/>
    <x v="8"/>
    <x v="54"/>
    <x v="1"/>
    <x v="0"/>
    <x v="9"/>
    <x v="9"/>
    <x v="115"/>
    <x v="162"/>
  </r>
  <r>
    <x v="14"/>
    <x v="70"/>
    <x v="53"/>
    <x v="1"/>
    <x v="0"/>
    <x v="4"/>
    <x v="4"/>
    <x v="90"/>
    <x v="97"/>
  </r>
  <r>
    <x v="14"/>
    <x v="139"/>
    <x v="139"/>
    <x v="1"/>
    <x v="0"/>
    <x v="0"/>
    <x v="0"/>
    <x v="133"/>
    <x v="71"/>
  </r>
  <r>
    <x v="19"/>
    <x v="185"/>
    <x v="193"/>
    <x v="1"/>
    <x v="0"/>
    <x v="27"/>
    <x v="27"/>
    <x v="10"/>
    <x v="25"/>
  </r>
  <r>
    <x v="10"/>
    <x v="214"/>
    <x v="17"/>
    <x v="1"/>
    <x v="0"/>
    <x v="0"/>
    <x v="0"/>
    <x v="172"/>
    <x v="148"/>
  </r>
  <r>
    <x v="5"/>
    <x v="138"/>
    <x v="137"/>
    <x v="1"/>
    <x v="0"/>
    <x v="32"/>
    <x v="34"/>
    <x v="53"/>
    <x v="187"/>
  </r>
  <r>
    <x v="5"/>
    <x v="15"/>
    <x v="80"/>
    <x v="1"/>
    <x v="0"/>
    <x v="27"/>
    <x v="27"/>
    <x v="71"/>
    <x v="186"/>
  </r>
  <r>
    <x v="19"/>
    <x v="96"/>
    <x v="86"/>
    <x v="1"/>
    <x v="0"/>
    <x v="9"/>
    <x v="5"/>
    <x v="105"/>
    <x v="138"/>
  </r>
  <r>
    <x v="14"/>
    <x v="41"/>
    <x v="236"/>
    <x v="1"/>
    <x v="0"/>
    <x v="0"/>
    <x v="0"/>
    <x v="98"/>
    <x v="30"/>
  </r>
  <r>
    <x v="19"/>
    <x v="193"/>
    <x v="203"/>
    <x v="1"/>
    <x v="0"/>
    <x v="1"/>
    <x v="0"/>
    <x v="118"/>
    <x v="52"/>
  </r>
  <r>
    <x v="14"/>
    <x v="92"/>
    <x v="81"/>
    <x v="1"/>
    <x v="0"/>
    <x v="0"/>
    <x v="0"/>
    <x v="68"/>
    <x v="11"/>
  </r>
  <r>
    <x v="19"/>
    <x v="158"/>
    <x v="159"/>
    <x v="1"/>
    <x v="0"/>
    <x v="0"/>
    <x v="9"/>
    <x v="163"/>
    <x v="133"/>
  </r>
  <r>
    <x v="1"/>
    <x v="38"/>
    <x v="211"/>
    <x v="1"/>
    <x v="0"/>
    <x v="27"/>
    <x v="27"/>
    <x v="11"/>
    <x v="26"/>
  </r>
  <r>
    <x v="5"/>
    <x v="135"/>
    <x v="135"/>
    <x v="1"/>
    <x v="0"/>
    <x v="26"/>
    <x v="26"/>
    <x v="71"/>
    <x v="184"/>
  </r>
  <r>
    <x v="14"/>
    <x v="105"/>
    <x v="99"/>
    <x v="1"/>
    <x v="0"/>
    <x v="0"/>
    <x v="33"/>
    <x v="110"/>
    <x v="38"/>
  </r>
  <r>
    <x v="5"/>
    <x v="101"/>
    <x v="94"/>
    <x v="1"/>
    <x v="0"/>
    <x v="0"/>
    <x v="24"/>
    <x v="113"/>
    <x v="43"/>
  </r>
  <r>
    <x v="9"/>
    <x v="111"/>
    <x v="107"/>
    <x v="1"/>
    <x v="0"/>
    <x v="1"/>
    <x v="36"/>
    <x v="124"/>
    <x v="101"/>
  </r>
  <r>
    <x v="14"/>
    <x v="186"/>
    <x v="194"/>
    <x v="1"/>
    <x v="0"/>
    <x v="23"/>
    <x v="22"/>
    <x v="23"/>
    <x v="22"/>
  </r>
  <r>
    <x v="1"/>
    <x v="116"/>
    <x v="113"/>
    <x v="1"/>
    <x v="0"/>
    <x v="3"/>
    <x v="3"/>
    <x v="63"/>
    <x v="37"/>
  </r>
  <r>
    <x v="5"/>
    <x v="17"/>
    <x v="87"/>
    <x v="1"/>
    <x v="0"/>
    <x v="27"/>
    <x v="27"/>
    <x v="0"/>
    <x v="1"/>
  </r>
  <r>
    <x v="14"/>
    <x v="97"/>
    <x v="88"/>
    <x v="1"/>
    <x v="0"/>
    <x v="31"/>
    <x v="33"/>
    <x v="6"/>
    <x v="32"/>
  </r>
  <r>
    <x v="5"/>
    <x v="77"/>
    <x v="61"/>
    <x v="1"/>
    <x v="0"/>
    <x v="33"/>
    <x v="34"/>
    <x v="7"/>
    <x v="58"/>
  </r>
  <r>
    <x v="5"/>
    <x v="35"/>
    <x v="191"/>
    <x v="1"/>
    <x v="0"/>
    <x v="27"/>
    <x v="27"/>
    <x v="9"/>
    <x v="24"/>
  </r>
  <r>
    <x v="5"/>
    <x v="78"/>
    <x v="62"/>
    <x v="1"/>
    <x v="0"/>
    <x v="27"/>
    <x v="27"/>
    <x v="10"/>
    <x v="25"/>
  </r>
  <r>
    <x v="5"/>
    <x v="18"/>
    <x v="89"/>
    <x v="1"/>
    <x v="0"/>
    <x v="29"/>
    <x v="29"/>
    <x v="4"/>
    <x v="13"/>
  </r>
  <r>
    <x v="1"/>
    <x v="103"/>
    <x v="97"/>
    <x v="1"/>
    <x v="0"/>
    <x v="0"/>
    <x v="0"/>
    <x v="79"/>
    <x v="18"/>
  </r>
  <r>
    <x v="4"/>
    <x v="104"/>
    <x v="98"/>
    <x v="1"/>
    <x v="0"/>
    <x v="5"/>
    <x v="5"/>
    <x v="100"/>
    <x v="131"/>
  </r>
  <r>
    <x v="14"/>
    <x v="229"/>
    <x v="201"/>
    <x v="1"/>
    <x v="0"/>
    <x v="27"/>
    <x v="27"/>
    <x v="29"/>
    <x v="137"/>
  </r>
  <r>
    <x v="4"/>
    <x v="91"/>
    <x v="79"/>
    <x v="1"/>
    <x v="0"/>
    <x v="36"/>
    <x v="40"/>
    <x v="82"/>
    <x v="100"/>
  </r>
  <r>
    <x v="5"/>
    <x v="199"/>
    <x v="209"/>
    <x v="1"/>
    <x v="0"/>
    <x v="6"/>
    <x v="6"/>
    <x v="126"/>
    <x v="158"/>
  </r>
  <r>
    <x v="5"/>
    <x v="23"/>
    <x v="7"/>
    <x v="1"/>
    <x v="0"/>
    <x v="16"/>
    <x v="16"/>
    <x v="48"/>
    <x v="88"/>
  </r>
  <r>
    <x v="14"/>
    <x v="106"/>
    <x v="100"/>
    <x v="1"/>
    <x v="0"/>
    <x v="27"/>
    <x v="27"/>
    <x v="16"/>
    <x v="50"/>
  </r>
  <r>
    <x v="1"/>
    <x v="79"/>
    <x v="63"/>
    <x v="1"/>
    <x v="0"/>
    <x v="0"/>
    <x v="0"/>
    <x v="58"/>
    <x v="5"/>
  </r>
  <r>
    <x v="8"/>
    <x v="157"/>
    <x v="19"/>
    <x v="1"/>
    <x v="0"/>
    <x v="1"/>
    <x v="33"/>
    <x v="122"/>
    <x v="95"/>
  </r>
  <r>
    <x v="5"/>
    <x v="137"/>
    <x v="136"/>
    <x v="1"/>
    <x v="0"/>
    <x v="38"/>
    <x v="39"/>
    <x v="44"/>
    <x v="190"/>
  </r>
  <r>
    <x v="8"/>
    <x v="11"/>
    <x v="64"/>
    <x v="1"/>
    <x v="0"/>
    <x v="0"/>
    <x v="0"/>
    <x v="128"/>
    <x v="60"/>
  </r>
  <r>
    <x v="1"/>
    <x v="24"/>
    <x v="104"/>
    <x v="1"/>
    <x v="0"/>
    <x v="35"/>
    <x v="1"/>
    <x v="4"/>
    <x v="54"/>
  </r>
  <r>
    <x v="9"/>
    <x v="159"/>
    <x v="161"/>
    <x v="1"/>
    <x v="0"/>
    <x v="1"/>
    <x v="1"/>
    <x v="64"/>
    <x v="20"/>
  </r>
  <r>
    <x v="5"/>
    <x v="141"/>
    <x v="141"/>
    <x v="1"/>
    <x v="0"/>
    <x v="31"/>
    <x v="33"/>
    <x v="28"/>
    <x v="155"/>
  </r>
  <r>
    <x v="5"/>
    <x v="21"/>
    <x v="96"/>
    <x v="1"/>
    <x v="0"/>
    <x v="0"/>
    <x v="31"/>
    <x v="114"/>
    <x v="45"/>
  </r>
  <r>
    <x v="5"/>
    <x v="102"/>
    <x v="95"/>
    <x v="1"/>
    <x v="0"/>
    <x v="0"/>
    <x v="22"/>
    <x v="142"/>
    <x v="89"/>
  </r>
  <r>
    <x v="5"/>
    <x v="227"/>
    <x v="82"/>
    <x v="1"/>
    <x v="0"/>
    <x v="27"/>
    <x v="27"/>
    <x v="119"/>
    <x v="191"/>
  </r>
  <r>
    <x v="7"/>
    <x v="57"/>
    <x v="38"/>
    <x v="1"/>
    <x v="0"/>
    <x v="0"/>
    <x v="0"/>
    <x v="107"/>
    <x v="36"/>
  </r>
  <r>
    <x v="8"/>
    <x v="29"/>
    <x v="146"/>
    <x v="1"/>
    <x v="0"/>
    <x v="1"/>
    <x v="20"/>
    <x v="36"/>
    <x v="0"/>
  </r>
  <r>
    <x v="18"/>
    <x v="174"/>
    <x v="177"/>
    <x v="1"/>
    <x v="0"/>
    <x v="0"/>
    <x v="0"/>
    <x v="160"/>
    <x v="126"/>
  </r>
  <r>
    <x v="7"/>
    <x v="197"/>
    <x v="116"/>
    <x v="1"/>
    <x v="0"/>
    <x v="1"/>
    <x v="23"/>
    <x v="113"/>
    <x v="82"/>
  </r>
  <r>
    <x v="17"/>
    <x v="180"/>
    <x v="186"/>
    <x v="1"/>
    <x v="0"/>
    <x v="0"/>
    <x v="22"/>
    <x v="96"/>
    <x v="27"/>
  </r>
  <r>
    <x v="7"/>
    <x v="151"/>
    <x v="152"/>
    <x v="1"/>
    <x v="0"/>
    <x v="24"/>
    <x v="23"/>
    <x v="31"/>
    <x v="88"/>
  </r>
  <r>
    <x v="16"/>
    <x v="80"/>
    <x v="65"/>
    <x v="1"/>
    <x v="0"/>
    <x v="27"/>
    <x v="41"/>
    <x v="6"/>
    <x v="144"/>
  </r>
  <r>
    <x v="5"/>
    <x v="42"/>
    <x v="20"/>
    <x v="1"/>
    <x v="0"/>
    <x v="23"/>
    <x v="22"/>
    <x v="173"/>
    <x v="149"/>
  </r>
  <r>
    <x v="14"/>
    <x v="142"/>
    <x v="142"/>
    <x v="1"/>
    <x v="0"/>
    <x v="31"/>
    <x v="33"/>
    <x v="19"/>
    <x v="109"/>
  </r>
  <r>
    <x v="14"/>
    <x v="118"/>
    <x v="115"/>
    <x v="1"/>
    <x v="0"/>
    <x v="27"/>
    <x v="27"/>
    <x v="27"/>
    <x v="118"/>
  </r>
  <r>
    <x v="14"/>
    <x v="228"/>
    <x v="120"/>
    <x v="1"/>
    <x v="0"/>
    <x v="0"/>
    <x v="33"/>
    <x v="83"/>
    <x v="19"/>
  </r>
  <r>
    <x v="14"/>
    <x v="119"/>
    <x v="117"/>
    <x v="1"/>
    <x v="0"/>
    <x v="25"/>
    <x v="24"/>
    <x v="30"/>
    <x v="99"/>
  </r>
  <r>
    <x v="14"/>
    <x v="120"/>
    <x v="118"/>
    <x v="1"/>
    <x v="0"/>
    <x v="1"/>
    <x v="1"/>
    <x v="108"/>
    <x v="78"/>
  </r>
  <r>
    <x v="8"/>
    <x v="117"/>
    <x v="114"/>
    <x v="1"/>
    <x v="0"/>
    <x v="0"/>
    <x v="27"/>
    <x v="125"/>
    <x v="57"/>
  </r>
  <r>
    <x v="1"/>
    <x v="191"/>
    <x v="199"/>
    <x v="1"/>
    <x v="0"/>
    <x v="17"/>
    <x v="17"/>
    <x v="50"/>
    <x v="108"/>
  </r>
  <r>
    <x v="7"/>
    <x v="121"/>
    <x v="119"/>
    <x v="1"/>
    <x v="0"/>
    <x v="35"/>
    <x v="36"/>
    <x v="3"/>
    <x v="43"/>
  </r>
  <r>
    <x v="8"/>
    <x v="203"/>
    <x v="216"/>
    <x v="1"/>
    <x v="0"/>
    <x v="0"/>
    <x v="27"/>
    <x v="107"/>
    <x v="36"/>
  </r>
  <r>
    <x v="4"/>
    <x v="220"/>
    <x v="237"/>
    <x v="1"/>
    <x v="0"/>
    <x v="2"/>
    <x v="2"/>
    <x v="76"/>
    <x v="53"/>
  </r>
  <r>
    <x v="3"/>
    <x v="65"/>
    <x v="48"/>
    <x v="1"/>
    <x v="0"/>
    <x v="1"/>
    <x v="1"/>
    <x v="56"/>
    <x v="15"/>
  </r>
  <r>
    <x v="4"/>
    <x v="223"/>
    <x v="240"/>
    <x v="1"/>
    <x v="0"/>
    <x v="2"/>
    <x v="2"/>
    <x v="85"/>
    <x v="62"/>
  </r>
  <r>
    <x v="5"/>
    <x v="178"/>
    <x v="184"/>
    <x v="1"/>
    <x v="0"/>
    <x v="27"/>
    <x v="27"/>
    <x v="25"/>
    <x v="107"/>
  </r>
  <r>
    <x v="14"/>
    <x v="192"/>
    <x v="15"/>
    <x v="1"/>
    <x v="0"/>
    <x v="27"/>
    <x v="27"/>
    <x v="1"/>
    <x v="2"/>
  </r>
  <r>
    <x v="8"/>
    <x v="88"/>
    <x v="76"/>
    <x v="1"/>
    <x v="0"/>
    <x v="0"/>
    <x v="27"/>
    <x v="54"/>
    <x v="3"/>
  </r>
  <r>
    <x v="14"/>
    <x v="224"/>
    <x v="226"/>
    <x v="1"/>
    <x v="0"/>
    <x v="31"/>
    <x v="33"/>
    <x v="20"/>
    <x v="110"/>
  </r>
  <r>
    <x v="14"/>
    <x v="152"/>
    <x v="153"/>
    <x v="1"/>
    <x v="0"/>
    <x v="23"/>
    <x v="22"/>
    <x v="42"/>
    <x v="139"/>
  </r>
  <r>
    <x v="14"/>
    <x v="215"/>
    <x v="232"/>
    <x v="1"/>
    <x v="0"/>
    <x v="23"/>
    <x v="22"/>
    <x v="41"/>
    <x v="129"/>
  </r>
  <r>
    <x v="14"/>
    <x v="75"/>
    <x v="59"/>
    <x v="1"/>
    <x v="0"/>
    <x v="0"/>
    <x v="27"/>
    <x v="97"/>
    <x v="29"/>
  </r>
  <r>
    <x v="5"/>
    <x v="232"/>
    <x v="222"/>
    <x v="1"/>
    <x v="0"/>
    <x v="0"/>
    <x v="0"/>
    <x v="127"/>
    <x v="59"/>
  </r>
  <r>
    <x v="5"/>
    <x v="231"/>
    <x v="221"/>
    <x v="1"/>
    <x v="0"/>
    <x v="0"/>
    <x v="0"/>
    <x v="127"/>
    <x v="59"/>
  </r>
  <r>
    <x v="5"/>
    <x v="230"/>
    <x v="219"/>
    <x v="1"/>
    <x v="0"/>
    <x v="0"/>
    <x v="0"/>
    <x v="157"/>
    <x v="122"/>
  </r>
  <r>
    <x v="16"/>
    <x v="207"/>
    <x v="16"/>
    <x v="1"/>
    <x v="0"/>
    <x v="0"/>
    <x v="0"/>
    <x v="162"/>
    <x v="130"/>
  </r>
  <r>
    <x v="4"/>
    <x v="222"/>
    <x v="239"/>
    <x v="1"/>
    <x v="0"/>
    <x v="2"/>
    <x v="2"/>
    <x v="104"/>
    <x v="93"/>
  </r>
  <r>
    <x v="8"/>
    <x v="167"/>
    <x v="170"/>
    <x v="1"/>
    <x v="0"/>
    <x v="0"/>
    <x v="27"/>
    <x v="107"/>
    <x v="36"/>
  </r>
  <r>
    <x v="5"/>
    <x v="190"/>
    <x v="198"/>
    <x v="1"/>
    <x v="0"/>
    <x v="16"/>
    <x v="16"/>
    <x v="49"/>
    <x v="103"/>
  </r>
  <r>
    <x v="14"/>
    <x v="216"/>
    <x v="202"/>
    <x v="1"/>
    <x v="0"/>
    <x v="0"/>
    <x v="22"/>
    <x v="95"/>
    <x v="26"/>
  </r>
  <r>
    <x v="5"/>
    <x v="200"/>
    <x v="212"/>
    <x v="1"/>
    <x v="0"/>
    <x v="27"/>
    <x v="27"/>
    <x v="84"/>
    <x v="189"/>
  </r>
  <r>
    <x v="5"/>
    <x v="108"/>
    <x v="103"/>
    <x v="1"/>
    <x v="0"/>
    <x v="18"/>
    <x v="20"/>
    <x v="62"/>
    <x v="145"/>
  </r>
  <r>
    <x v="19"/>
    <x v="66"/>
    <x v="49"/>
    <x v="1"/>
    <x v="0"/>
    <x v="0"/>
    <x v="0"/>
    <x v="155"/>
    <x v="116"/>
  </r>
  <r>
    <x v="20"/>
    <x v="184"/>
    <x v="192"/>
    <x v="1"/>
    <x v="0"/>
    <x v="1"/>
    <x v="1"/>
    <x v="153"/>
    <x v="151"/>
  </r>
  <r>
    <x v="14"/>
    <x v="216"/>
    <x v="233"/>
    <x v="1"/>
    <x v="0"/>
    <x v="25"/>
    <x v="25"/>
    <x v="26"/>
    <x v="67"/>
  </r>
  <r>
    <x v="10"/>
    <x v="46"/>
    <x v="25"/>
    <x v="1"/>
    <x v="0"/>
    <x v="0"/>
    <x v="4"/>
    <x v="148"/>
    <x v="167"/>
  </r>
  <r>
    <x v="6"/>
    <x v="202"/>
    <x v="215"/>
    <x v="1"/>
    <x v="0"/>
    <x v="1"/>
    <x v="1"/>
    <x v="91"/>
    <x v="46"/>
  </r>
  <r>
    <x v="10"/>
    <x v="144"/>
    <x v="11"/>
    <x v="1"/>
    <x v="0"/>
    <x v="0"/>
    <x v="4"/>
    <x v="179"/>
    <x v="175"/>
  </r>
  <r>
    <x v="7"/>
    <x v="145"/>
    <x v="144"/>
    <x v="1"/>
    <x v="0"/>
    <x v="3"/>
    <x v="22"/>
    <x v="95"/>
    <x v="98"/>
  </r>
  <r>
    <x v="19"/>
    <x v="113"/>
    <x v="109"/>
    <x v="1"/>
    <x v="0"/>
    <x v="24"/>
    <x v="23"/>
    <x v="32"/>
    <x v="106"/>
  </r>
  <r>
    <x v="1"/>
    <x v="47"/>
    <x v="26"/>
    <x v="1"/>
    <x v="0"/>
    <x v="3"/>
    <x v="3"/>
    <x v="94"/>
    <x v="94"/>
  </r>
  <r>
    <x v="8"/>
    <x v="90"/>
    <x v="210"/>
    <x v="1"/>
    <x v="0"/>
    <x v="1"/>
    <x v="33"/>
    <x v="107"/>
    <x v="77"/>
  </r>
  <r>
    <x v="13"/>
    <x v="59"/>
    <x v="0"/>
    <x v="1"/>
    <x v="0"/>
    <x v="1"/>
    <x v="4"/>
    <x v="80"/>
    <x v="34"/>
  </r>
  <r>
    <x v="5"/>
    <x v="45"/>
    <x v="24"/>
    <x v="1"/>
    <x v="0"/>
    <x v="3"/>
    <x v="3"/>
    <x v="66"/>
    <x v="44"/>
  </r>
  <r>
    <x v="14"/>
    <x v="44"/>
    <x v="23"/>
    <x v="1"/>
    <x v="0"/>
    <x v="0"/>
    <x v="1"/>
    <x v="57"/>
    <x v="16"/>
  </r>
  <r>
    <x v="8"/>
    <x v="221"/>
    <x v="238"/>
    <x v="1"/>
    <x v="0"/>
    <x v="0"/>
    <x v="0"/>
    <x v="61"/>
    <x v="8"/>
  </r>
  <r>
    <x v="1"/>
    <x v="43"/>
    <x v="22"/>
    <x v="1"/>
    <x v="0"/>
    <x v="0"/>
    <x v="0"/>
    <x v="67"/>
    <x v="10"/>
  </r>
  <r>
    <x v="14"/>
    <x v="183"/>
    <x v="190"/>
    <x v="1"/>
    <x v="0"/>
    <x v="0"/>
    <x v="0"/>
    <x v="93"/>
    <x v="25"/>
  </r>
  <r>
    <x v="5"/>
    <x v="27"/>
    <x v="124"/>
    <x v="1"/>
    <x v="0"/>
    <x v="35"/>
    <x v="36"/>
    <x v="5"/>
    <x v="61"/>
  </r>
  <r>
    <x v="14"/>
    <x v="206"/>
    <x v="220"/>
    <x v="1"/>
    <x v="0"/>
    <x v="27"/>
    <x v="27"/>
    <x v="10"/>
    <x v="25"/>
  </r>
  <r>
    <x v="5"/>
    <x v="114"/>
    <x v="111"/>
    <x v="1"/>
    <x v="0"/>
    <x v="38"/>
    <x v="39"/>
    <x v="3"/>
    <x v="95"/>
  </r>
  <r>
    <x v="8"/>
    <x v="218"/>
    <x v="235"/>
    <x v="1"/>
    <x v="0"/>
    <x v="0"/>
    <x v="27"/>
    <x v="52"/>
    <x v="2"/>
  </r>
  <r>
    <x v="5"/>
    <x v="147"/>
    <x v="147"/>
    <x v="1"/>
    <x v="0"/>
    <x v="37"/>
    <x v="38"/>
    <x v="6"/>
    <x v="105"/>
  </r>
  <r>
    <x v="5"/>
    <x v="0"/>
    <x v="51"/>
    <x v="1"/>
    <x v="0"/>
    <x v="28"/>
    <x v="28"/>
    <x v="59"/>
    <x v="185"/>
  </r>
  <r>
    <x v="14"/>
    <x v="210"/>
    <x v="227"/>
    <x v="1"/>
    <x v="0"/>
    <x v="0"/>
    <x v="27"/>
    <x v="72"/>
    <x v="14"/>
  </r>
  <r>
    <x v="1"/>
    <x v="126"/>
    <x v="127"/>
    <x v="1"/>
    <x v="0"/>
    <x v="31"/>
    <x v="33"/>
    <x v="4"/>
    <x v="25"/>
  </r>
  <r>
    <x v="14"/>
    <x v="208"/>
    <x v="224"/>
    <x v="1"/>
    <x v="0"/>
    <x v="0"/>
    <x v="27"/>
    <x v="106"/>
    <x v="35"/>
  </r>
  <r>
    <x v="19"/>
    <x v="213"/>
    <x v="231"/>
    <x v="1"/>
    <x v="0"/>
    <x v="31"/>
    <x v="33"/>
    <x v="13"/>
    <x v="65"/>
  </r>
  <r>
    <x v="5"/>
    <x v="168"/>
    <x v="171"/>
    <x v="1"/>
    <x v="0"/>
    <x v="11"/>
    <x v="42"/>
    <x v="68"/>
    <x v="120"/>
  </r>
  <r>
    <x v="5"/>
    <x v="156"/>
    <x v="158"/>
    <x v="1"/>
    <x v="0"/>
    <x v="9"/>
    <x v="33"/>
    <x v="84"/>
    <x v="132"/>
  </r>
  <r>
    <x v="14"/>
    <x v="115"/>
    <x v="112"/>
    <x v="1"/>
    <x v="0"/>
    <x v="0"/>
    <x v="0"/>
    <x v="89"/>
    <x v="23"/>
  </r>
  <r>
    <x v="5"/>
    <x v="124"/>
    <x v="125"/>
    <x v="1"/>
    <x v="0"/>
    <x v="23"/>
    <x v="22"/>
    <x v="45"/>
    <x v="155"/>
  </r>
  <r>
    <x v="5"/>
    <x v="99"/>
    <x v="91"/>
    <x v="1"/>
    <x v="0"/>
    <x v="36"/>
    <x v="37"/>
    <x v="2"/>
    <x v="54"/>
  </r>
  <r>
    <x v="7"/>
    <x v="9"/>
    <x v="2"/>
    <x v="1"/>
    <x v="0"/>
    <x v="27"/>
    <x v="27"/>
    <x v="15"/>
    <x v="43"/>
  </r>
  <r>
    <x v="14"/>
    <x v="127"/>
    <x v="8"/>
    <x v="1"/>
    <x v="0"/>
    <x v="0"/>
    <x v="0"/>
    <x v="130"/>
    <x v="65"/>
  </r>
  <r>
    <x v="14"/>
    <x v="172"/>
    <x v="174"/>
    <x v="1"/>
    <x v="0"/>
    <x v="27"/>
    <x v="27"/>
    <x v="39"/>
    <x v="170"/>
  </r>
  <r>
    <x v="9"/>
    <x v="128"/>
    <x v="128"/>
    <x v="1"/>
    <x v="0"/>
    <x v="36"/>
    <x v="33"/>
    <x v="1"/>
    <x v="12"/>
  </r>
  <r>
    <x v="14"/>
    <x v="14"/>
    <x v="77"/>
    <x v="1"/>
    <x v="0"/>
    <x v="35"/>
    <x v="36"/>
    <x v="5"/>
    <x v="61"/>
  </r>
  <r>
    <x v="1"/>
    <x v="136"/>
    <x v="9"/>
    <x v="1"/>
    <x v="0"/>
    <x v="27"/>
    <x v="27"/>
    <x v="4"/>
    <x v="12"/>
  </r>
  <r>
    <x v="14"/>
    <x v="149"/>
    <x v="148"/>
    <x v="1"/>
    <x v="0"/>
    <x v="0"/>
    <x v="0"/>
    <x v="175"/>
    <x v="152"/>
  </r>
  <r>
    <x v="16"/>
    <x v="170"/>
    <x v="173"/>
    <x v="1"/>
    <x v="0"/>
    <x v="0"/>
    <x v="23"/>
    <x v="113"/>
    <x v="82"/>
  </r>
  <r>
    <x v="8"/>
    <x v="140"/>
    <x v="140"/>
    <x v="1"/>
    <x v="0"/>
    <x v="0"/>
    <x v="33"/>
    <x v="143"/>
    <x v="90"/>
  </r>
  <r>
    <x v="8"/>
    <x v="169"/>
    <x v="172"/>
    <x v="1"/>
    <x v="0"/>
    <x v="0"/>
    <x v="33"/>
    <x v="156"/>
    <x v="119"/>
  </r>
  <r>
    <x v="7"/>
    <x v="28"/>
    <x v="10"/>
    <x v="1"/>
    <x v="0"/>
    <x v="3"/>
    <x v="36"/>
    <x v="71"/>
    <x v="54"/>
  </r>
  <r>
    <x v="5"/>
    <x v="160"/>
    <x v="162"/>
    <x v="1"/>
    <x v="0"/>
    <x v="11"/>
    <x v="11"/>
    <x v="78"/>
    <x v="140"/>
  </r>
  <r>
    <x v="20"/>
    <x v="146"/>
    <x v="145"/>
    <x v="1"/>
    <x v="0"/>
    <x v="9"/>
    <x v="9"/>
    <x v="129"/>
    <x v="167"/>
  </r>
  <r>
    <x v="2"/>
    <x v="31"/>
    <x v="160"/>
    <x v="1"/>
    <x v="0"/>
    <x v="9"/>
    <x v="9"/>
    <x v="145"/>
    <x v="95"/>
  </r>
  <r>
    <x v="10"/>
    <x v="240"/>
    <x v="150"/>
    <x v="0"/>
    <x v="0"/>
    <x v="1"/>
    <x v="1"/>
    <x v="167"/>
    <x v="161"/>
  </r>
  <r>
    <x v="19"/>
    <x v="122"/>
    <x v="121"/>
    <x v="1"/>
    <x v="0"/>
    <x v="0"/>
    <x v="27"/>
    <x v="59"/>
    <x v="6"/>
  </r>
  <r>
    <x v="14"/>
    <x v="61"/>
    <x v="42"/>
    <x v="1"/>
    <x v="0"/>
    <x v="1"/>
    <x v="1"/>
    <x v="88"/>
    <x v="43"/>
  </r>
  <r>
    <x v="4"/>
    <x v="150"/>
    <x v="149"/>
    <x v="1"/>
    <x v="0"/>
    <x v="7"/>
    <x v="7"/>
    <x v="81"/>
    <x v="113"/>
  </r>
  <r>
    <x v="4"/>
    <x v="239"/>
    <x v="157"/>
    <x v="1"/>
    <x v="0"/>
    <x v="5"/>
    <x v="5"/>
    <x v="70"/>
    <x v="76"/>
  </r>
  <r>
    <x v="11"/>
    <x v="238"/>
    <x v="241"/>
    <x v="1"/>
    <x v="0"/>
    <x v="2"/>
    <x v="7"/>
    <x v="119"/>
    <x v="159"/>
  </r>
  <r>
    <x v="12"/>
    <x v="3"/>
    <x v="183"/>
    <x v="1"/>
    <x v="0"/>
    <x v="9"/>
    <x v="9"/>
    <x v="131"/>
    <x v="172"/>
  </r>
  <r>
    <x v="12"/>
    <x v="234"/>
    <x v="207"/>
    <x v="1"/>
    <x v="0"/>
    <x v="9"/>
    <x v="9"/>
    <x v="53"/>
    <x v="70"/>
  </r>
  <r>
    <x v="12"/>
    <x v="235"/>
    <x v="179"/>
    <x v="1"/>
    <x v="0"/>
    <x v="19"/>
    <x v="18"/>
    <x v="43"/>
    <x v="77"/>
  </r>
  <r>
    <x v="13"/>
    <x v="2"/>
    <x v="70"/>
    <x v="1"/>
    <x v="0"/>
    <x v="4"/>
    <x v="4"/>
    <x v="149"/>
    <x v="173"/>
  </r>
  <r>
    <x v="13"/>
    <x v="237"/>
    <x v="21"/>
    <x v="1"/>
    <x v="0"/>
    <x v="0"/>
    <x v="0"/>
    <x v="112"/>
    <x v="42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TD REAGENTES, SOLVENTES E MEIOS" cacheId="1" applyNumberFormats="0" applyBorderFormats="0" applyFontFormats="0" applyPatternFormats="0" applyAlignmentFormats="0" applyWidthHeightFormats="0" dataCaption="Values" useAutoFormatting="0" itemPrintTitles="1" indent="0" outline="0" outlineData="0" compact="0" compactData="0">
  <location ref="A1:D244" firstHeaderRow="1" firstDataRow="1" firstDataCol="3"/>
  <pivotFields count="9">
    <pivotField axis="axisRow" compact="0" showAll="0" outline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Row" compact="0" showAll="0" defaultSubtotal="0" outline="0">
      <items count="2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</items>
    </pivotField>
    <pivotField axis="axisRow" compact="0" showAll="0" defaultSubtotal="0" outline="0">
      <items count="2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</items>
    </pivotField>
    <pivotField compact="0" showAll="0" outline="0"/>
    <pivotField compact="0" showAll="0" outline="0"/>
    <pivotField compact="0" showAll="0" outline="0"/>
    <pivotField dataField="1" compact="0" showAll="0" outline="0"/>
    <pivotField compact="0" showAll="0" outline="0"/>
    <pivotField compact="0" showAll="0" outline="0"/>
  </pivotFields>
  <rowFields count="3">
    <field x="2"/>
    <field x="1"/>
    <field x="0"/>
  </rowFields>
  <dataFields count="1">
    <dataField name="SUM of QUANTIDADE SELECIONADA" fld="6" subtotal="sum" numFmtId="164"/>
  </dataFields>
  <pivotTableStyleInfo name="PivotStyleLight16" showRowHeaders="1" showColHeaders="1" showRowStripes="0" showColStripes="0" showLastColumn="1"/>
</pivotTableDefinition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sipac.sig.ufal.br/sipac/visualizaMaterial.do?popup=true&amp;id=23809&amp;acao=12" TargetMode="External"/><Relationship Id="rId3" Type="http://schemas.openxmlformats.org/officeDocument/2006/relationships/hyperlink" Target="http://cnpj.info/17481539000102" TargetMode="External"/><Relationship Id="rId4" Type="http://schemas.openxmlformats.org/officeDocument/2006/relationships/hyperlink" Target="https://celeirorural.com.br/p-12144305-METILTESTOSTERONA-17-ALFA" TargetMode="External"/><Relationship Id="rId5" Type="http://schemas.openxmlformats.org/officeDocument/2006/relationships/hyperlink" Target="http://cnpj.info/04597432000182" TargetMode="External"/><Relationship Id="rId6" Type="http://schemas.openxmlformats.org/officeDocument/2006/relationships/hyperlink" Target="https://www.jardimdeminas.com/metiltestosterona-17-alfa-1-quilo" TargetMode="External"/><Relationship Id="rId7" Type="http://schemas.openxmlformats.org/officeDocument/2006/relationships/hyperlink" Target="https://www.mfrural.com.br/detalhe/309589/metiltestosterona-17-alfa-1-kg" TargetMode="External"/><Relationship Id="rId8" Type="http://schemas.openxmlformats.org/officeDocument/2006/relationships/hyperlink" Target="https://sipac.sig.ufal.br/sipac/visualizaMaterial.do?popup=true&amp;id=23074&amp;acao=12" TargetMode="External"/><Relationship Id="rId9" Type="http://schemas.openxmlformats.org/officeDocument/2006/relationships/hyperlink" Target="https://www.lojasynth.com/reagentes-analiticosmaterias-primas/reagentes-analiticosmaterias-primas/acetato-de-amonio-p-a-a-c-s?variant_id=301327" TargetMode="External"/><Relationship Id="rId10" Type="http://schemas.openxmlformats.org/officeDocument/2006/relationships/hyperlink" Target="https://www.lojaprolab.com.br/acetato-de-amonio-pa-acs-80527" TargetMode="External"/><Relationship Id="rId11" Type="http://schemas.openxmlformats.org/officeDocument/2006/relationships/hyperlink" Target="https://ludwigbiotec.com.br/loja/produto/acetato-de-amonio-p-a-acs-500-g/512" TargetMode="External"/><Relationship Id="rId12" Type="http://schemas.openxmlformats.org/officeDocument/2006/relationships/hyperlink" Target="https://sipac.sig.ufal.br/sipac/visualizaMaterial.do?popup=true&amp;id=22671&amp;acao=12" TargetMode="External"/><Relationship Id="rId13" Type="http://schemas.openxmlformats.org/officeDocument/2006/relationships/hyperlink" Target="https://www.lojasynth.com/reagentes-analiticosmaterias-primas/reagentes-analiticosmaterias-primas/acetato-de-calcio-h20-p-a?variant_id=301858" TargetMode="External"/><Relationship Id="rId14" Type="http://schemas.openxmlformats.org/officeDocument/2006/relationships/hyperlink" Target="https://www.labimport.com.br/reagentes/acetato-de-calcio/acetato-de-calcio-h2o-p-a-1000-g" TargetMode="External"/><Relationship Id="rId15" Type="http://schemas.openxmlformats.org/officeDocument/2006/relationships/hyperlink" Target="https://www.glasslab.com.br/reagentes-e-meios/acetato-de-calcio-h2o-pa-1kg" TargetMode="External"/><Relationship Id="rId16" Type="http://schemas.openxmlformats.org/officeDocument/2006/relationships/hyperlink" Target="https://sipac.sig.ufal.br/sipac/visualizaMaterial.do?popup=true&amp;id=22673&amp;acao=12" TargetMode="External"/><Relationship Id="rId17" Type="http://schemas.openxmlformats.org/officeDocument/2006/relationships/hyperlink" Target="https://www.glasslab.com.br/reagentes-e-meios/acetato-de-etila-pa-acs-1l?parceiro=6858" TargetMode="External"/><Relationship Id="rId18" Type="http://schemas.openxmlformats.org/officeDocument/2006/relationships/hyperlink" Target="http://cnpj.info/34397846000129" TargetMode="External"/><Relationship Id="rId19" Type="http://schemas.openxmlformats.org/officeDocument/2006/relationships/hyperlink" Target="https://chepplier.com/produto/acetato-de-etila/" TargetMode="External"/><Relationship Id="rId20" Type="http://schemas.openxmlformats.org/officeDocument/2006/relationships/hyperlink" Target="https://sipac.sig.ufal.br/sipac/visualizaMaterial.do?popup=true&amp;id=22675&amp;acao=12" TargetMode="External"/><Relationship Id="rId21" Type="http://schemas.openxmlformats.org/officeDocument/2006/relationships/hyperlink" Target="https://www.biomedh.com.br/007590/acetato-de-sodio-anidro-pa-acs-500gr.html" TargetMode="External"/><Relationship Id="rId22" Type="http://schemas.openxmlformats.org/officeDocument/2006/relationships/hyperlink" Target="https://www.acsreagentes.com.br/acetato-de-sodio-anidro-pa-acs-500g-acs-cientifica?utm_source=Site&amp;utm_medium=GoogleMerchant&amp;utm_campaign=GoogleMerchant&amp;gclid=Cj0KCQiAx6ugBhCcARIsAGNmMbjLaJqtrFa3lRl9MH_aJ71dnianeOowH6sHOPdYkFM96U1sD09KyFUaAp2gEALw_wcB" TargetMode="External"/><Relationship Id="rId23" Type="http://schemas.openxmlformats.org/officeDocument/2006/relationships/hyperlink" Target="https://www.lojanetlab.com.br/reagentes/pa/acetato-de-sodio-anidro-pa-acs-500g" TargetMode="External"/><Relationship Id="rId24" Type="http://schemas.openxmlformats.org/officeDocument/2006/relationships/hyperlink" Target="https://sipac.sig.ufal.br/sipac/visualizaMaterial.do?popup=true&amp;id=22677&amp;acao=12" TargetMode="External"/><Relationship Id="rId25" Type="http://schemas.openxmlformats.org/officeDocument/2006/relationships/hyperlink" Target="https://www.loja.tudoparalaboratorios.com.br/p-3427945-Acetona-PA-ACS---1000ml" TargetMode="External"/><Relationship Id="rId26" Type="http://schemas.openxmlformats.org/officeDocument/2006/relationships/hyperlink" Target="https://www.glasslab.com.br/reagentes-e-meios/acetona-pa-acs-1l" TargetMode="External"/><Relationship Id="rId27" Type="http://schemas.openxmlformats.org/officeDocument/2006/relationships/hyperlink" Target="https://aclmaringa.com.br/produto/acetona-pa-acs790g-fr-1000ml-dinamica/" TargetMode="External"/><Relationship Id="rId28" Type="http://schemas.openxmlformats.org/officeDocument/2006/relationships/hyperlink" Target="https://sipac.sig.ufal.br/sipac/visualizaMaterial.do?popup=true&amp;id=22676&amp;acao=12" TargetMode="External"/><Relationship Id="rId29" Type="http://schemas.openxmlformats.org/officeDocument/2006/relationships/hyperlink" Target="https://sipac.sig.ufal.br/sipac/visualizaMaterial.do?popup=true&amp;id=22679&amp;acao=12" TargetMode="External"/><Relationship Id="rId30" Type="http://schemas.openxmlformats.org/officeDocument/2006/relationships/hyperlink" Target="https://www.acsreagentes.com.br/acetonitrila-uv-hplc-espectrosc-1l-acs-cientifica?utm_source=Site&amp;utm_medium=GoogleMerchant&amp;utm_campaign=GoogleMerchant" TargetMode="External"/><Relationship Id="rId31" Type="http://schemas.openxmlformats.org/officeDocument/2006/relationships/hyperlink" Target="https://www.didaticasp.com.br/ACETONITRILA-1L-UV/HPLC-ESPECTROSCOPICO" TargetMode="External"/><Relationship Id="rId32" Type="http://schemas.openxmlformats.org/officeDocument/2006/relationships/hyperlink" Target="https://sipac.sig.ufal.br/sipac/visualizaMaterial.do?popup=true&amp;id=22681&amp;acao=12" TargetMode="External"/><Relationship Id="rId33" Type="http://schemas.openxmlformats.org/officeDocument/2006/relationships/hyperlink" Target="https://www.biomedh.com.br/008107/acido-acetico-glacial-pa-acs-1000ml.html" TargetMode="External"/><Relationship Id="rId34" Type="http://schemas.openxmlformats.org/officeDocument/2006/relationships/hyperlink" Target="https://www.glasslab.com.br/reagentes-e-meios/acido-acetico-glacial-pa-acs-1l" TargetMode="External"/><Relationship Id="rId35" Type="http://schemas.openxmlformats.org/officeDocument/2006/relationships/hyperlink" Target="http://cnpj.info/34397846000129" TargetMode="External"/><Relationship Id="rId36" Type="http://schemas.openxmlformats.org/officeDocument/2006/relationships/hyperlink" Target="https://chepplier.com/produto/acido-acetico-glacial-pa-acs-1-000ml/" TargetMode="External"/><Relationship Id="rId37" Type="http://schemas.openxmlformats.org/officeDocument/2006/relationships/hyperlink" Target="https://sipac.sig.ufal.br/sipac/visualizaMaterial.do?popup=true&amp;id=24134&amp;acao=12" TargetMode="External"/><Relationship Id="rId38" Type="http://schemas.openxmlformats.org/officeDocument/2006/relationships/hyperlink" Target="https://www.noxsolutions.com.br/acido-ascorbico" TargetMode="External"/><Relationship Id="rId39" Type="http://schemas.openxmlformats.org/officeDocument/2006/relationships/hyperlink" Target="https://www.laderquimica.com.br/acido-ascorbico-l-pa-acs-vitamina-c-500g-dinamica" TargetMode="External"/><Relationship Id="rId40" Type="http://schemas.openxmlformats.org/officeDocument/2006/relationships/hyperlink" Target="https://www.acsreagentes.com.br/acido-ascorbico-l-pa-acs-vit-c-500g-acs-cientifica" TargetMode="External"/><Relationship Id="rId41" Type="http://schemas.openxmlformats.org/officeDocument/2006/relationships/hyperlink" Target="https://sipac.sig.ufal.br/sipac/visualizaMaterial.do?popup=true&amp;id=22683&amp;acao=12" TargetMode="External"/><Relationship Id="rId42" Type="http://schemas.openxmlformats.org/officeDocument/2006/relationships/hyperlink" Target="https://www.glasslab.com.br/reagentes-e-meios/acido-benzoico-pa-acs-500g" TargetMode="External"/><Relationship Id="rId43" Type="http://schemas.openxmlformats.org/officeDocument/2006/relationships/hyperlink" Target="https://www.sigmaaldrich.com/BR/pt/product/sial/33047" TargetMode="External"/><Relationship Id="rId44" Type="http://schemas.openxmlformats.org/officeDocument/2006/relationships/hyperlink" Target="https://sipac.sig.ufal.br/sipac/visualizaMaterial.do?popup=true&amp;id=22684&amp;acao=12" TargetMode="External"/><Relationship Id="rId45" Type="http://schemas.openxmlformats.org/officeDocument/2006/relationships/hyperlink" Target="https://www.glasslab.com.br/reagentes-e-meios/acido-borico-pa-acs-500g" TargetMode="External"/><Relationship Id="rId46" Type="http://schemas.openxmlformats.org/officeDocument/2006/relationships/hyperlink" Target="https://www.biomedh.com.br/008143/acido-borico-pa-acs-1000gr.html" TargetMode="External"/><Relationship Id="rId47" Type="http://schemas.openxmlformats.org/officeDocument/2006/relationships/hyperlink" Target="http://cnpj.info/34397846000129" TargetMode="External"/><Relationship Id="rId48" Type="http://schemas.openxmlformats.org/officeDocument/2006/relationships/hyperlink" Target="https://chepplier.com/produto/acido-borico-b-174-1kg/" TargetMode="External"/><Relationship Id="rId49" Type="http://schemas.openxmlformats.org/officeDocument/2006/relationships/hyperlink" Target="https://sipac.sig.ufal.br/sipac/visualizaMaterial.do?popup=true&amp;id=23758&amp;acao=12" TargetMode="External"/><Relationship Id="rId50" Type="http://schemas.openxmlformats.org/officeDocument/2006/relationships/hyperlink" Target="https://www.acsreagentes.com.br/acido-calcon-carboxilico-pa-25g-acs-cientifica?utm_source=Site&amp;utm_medium=GoogleMerchant&amp;utm_campaign=GoogleMerchant&amp;gclid=Cj0KCQiAx6ugBhCcARIsAGNmMbil6GKdlrSopDQsK4EY-aEMcrk-J3SAEWbuZUII3aZP4zbRUSHL1PMaAvqrEALw_wcB" TargetMode="External"/><Relationship Id="rId51" Type="http://schemas.openxmlformats.org/officeDocument/2006/relationships/hyperlink" Target="https://www.glasslab.com.br/reagentes-e-meios/corantes-quimicos/acido-calcon-carboxilico-pa?parceiro=6858&amp;variant_id=4927&amp;gclid=Cj0KCQiAx6ugBhCcARIsAGNmMbiIQbOw4fNO9WGuogQgRKrGy46wsjGD8Zz-hrqst0dog1FZmK0sep8aApoNEALw_wcB" TargetMode="External"/><Relationship Id="rId52" Type="http://schemas.openxmlformats.org/officeDocument/2006/relationships/hyperlink" Target="https://www.didaticasp.com.br/produto/acido-calconcarboxilico-pa-5g-cas-3737-95-9.html" TargetMode="External"/><Relationship Id="rId53" Type="http://schemas.openxmlformats.org/officeDocument/2006/relationships/hyperlink" Target="https://sipac.sig.ufal.br/sipac/visualizaMaterial.do?popup=true&amp;id=22685&amp;acao=12" TargetMode="External"/><Relationship Id="rId54" Type="http://schemas.openxmlformats.org/officeDocument/2006/relationships/hyperlink" Target="https://www.lojasynth.com/reagentes-analiticosmaterias-primas/reagentes-analiticosmaterias-primas/acido-citrico-anidro-p-a-a-c-s" TargetMode="External"/><Relationship Id="rId55" Type="http://schemas.openxmlformats.org/officeDocument/2006/relationships/hyperlink" Target="https://www.glasslab.com.br/reagentes-e-meios/acido-citrico-anidro-pa-acs-500g" TargetMode="External"/><Relationship Id="rId56" Type="http://schemas.openxmlformats.org/officeDocument/2006/relationships/hyperlink" Target="https://www.noxsolutions.com.br/acido-citrico-anidro-pa-acs-500gr" TargetMode="External"/><Relationship Id="rId57" Type="http://schemas.openxmlformats.org/officeDocument/2006/relationships/hyperlink" Target="https://sipac.sig.ufal.br/sipac/visualizaMaterial.do?popup=true&amp;id=22686&amp;acao=12" TargetMode="External"/><Relationship Id="rId58" Type="http://schemas.openxmlformats.org/officeDocument/2006/relationships/hyperlink" Target="https://www.glasslab.com.br/reagentes-e-meios/acido-cloridrico-37-pa-acs-1l?parceiro=6858&amp;srsltid=Ad5pg_G7CScuFL1IUtRtl6konsrm12ychK1DaojJzJbpdp_FzObkSJpeREs" TargetMode="External"/><Relationship Id="rId59" Type="http://schemas.openxmlformats.org/officeDocument/2006/relationships/hyperlink" Target="https://www.glasslab.com.br/reagentes-e-meios/acido-cloridrico-37-pa-acs-1l?parceiro=6858&amp;srsltid=Ad5pg_G7CScuFL1IUtRtl6konsrm12ychK1DaojJzJbpdp_FzObkSJpeREs" TargetMode="External"/><Relationship Id="rId60" Type="http://schemas.openxmlformats.org/officeDocument/2006/relationships/hyperlink" Target="https://myhexis.com.br/index.php?option=com_movimentacao&amp;op=PROD&amp;task=detalhar&amp;produto_id=HX0269-00005" TargetMode="External"/><Relationship Id="rId61" Type="http://schemas.openxmlformats.org/officeDocument/2006/relationships/hyperlink" Target="https://sipac.sig.ufal.br/sipac/visualizaMaterial.do?popup=true&amp;id=22689&amp;acao=12" TargetMode="External"/><Relationship Id="rId62" Type="http://schemas.openxmlformats.org/officeDocument/2006/relationships/hyperlink" Target="https://www.lojasynth.com/reagentes-analiticosmaterias-primas/reagentes-analiticosmaterias-primas/e-d-t-a-acido-p-a?variant_id=302785" TargetMode="External"/><Relationship Id="rId63" Type="http://schemas.openxmlformats.org/officeDocument/2006/relationships/hyperlink" Target="https://sipac.sig.ufal.br/sipac/visualizaMaterial.do?popup=true&amp;id=25737&amp;acao=12" TargetMode="External"/><Relationship Id="rId64" Type="http://schemas.openxmlformats.org/officeDocument/2006/relationships/hyperlink" Target="https://www.sigmaaldrich.com/BR/pt/product/sigald/30103" TargetMode="External"/><Relationship Id="rId65" Type="http://schemas.openxmlformats.org/officeDocument/2006/relationships/hyperlink" Target="https://sipac.sig.ufal.br/sipac/visualizaMaterial.do?popup=true&amp;id=22690&amp;acao=12" TargetMode="External"/><Relationship Id="rId66" Type="http://schemas.openxmlformats.org/officeDocument/2006/relationships/hyperlink" Target="https://www.acsreagentes.com.br/acido-fosforico-orto-85-pa-acs-1l-acs-cientifica?utm_source=Site&amp;utm_medium=GoogleMerchant&amp;utm_campaign=GoogleMerchant" TargetMode="External"/><Relationship Id="rId67" Type="http://schemas.openxmlformats.org/officeDocument/2006/relationships/hyperlink" Target="https://www.myhexis.com.br/index.php?option=com_movimentacao&amp;op=PROD&amp;task=detalhar&amp;produto_id=HX0178-00002" TargetMode="External"/><Relationship Id="rId68" Type="http://schemas.openxmlformats.org/officeDocument/2006/relationships/hyperlink" Target="https://www.didaticasp.com.br/produto/acido-orto-fosforico-85-pa-1l-cas-7664-38-2-ssp.html" TargetMode="External"/><Relationship Id="rId69" Type="http://schemas.openxmlformats.org/officeDocument/2006/relationships/hyperlink" Target="https://sipac.sig.ufal.br/sipac/visualizaMaterial.do?popup=true&amp;id=28176&amp;acao=12" TargetMode="External"/><Relationship Id="rId70" Type="http://schemas.openxmlformats.org/officeDocument/2006/relationships/hyperlink" Target="https://sipac.sig.ufal.br/sipac/visualizaMaterial.do?popup=true&amp;id=6757&amp;acao=12" TargetMode="External"/><Relationship Id="rId71" Type="http://schemas.openxmlformats.org/officeDocument/2006/relationships/hyperlink" Target="https://www.myhexis.com.br/index.php?option=com_movimentacao&amp;op=PROD&amp;task=detalhar&amp;produto_id=HX0269-00007" TargetMode="External"/><Relationship Id="rId72" Type="http://schemas.openxmlformats.org/officeDocument/2006/relationships/hyperlink" Target="https://sipac.sig.ufal.br/sipac/visualizaMaterial.do?popup=true&amp;id=20001&amp;acao=12" TargetMode="External"/><Relationship Id="rId73" Type="http://schemas.openxmlformats.org/officeDocument/2006/relationships/hyperlink" Target="https://www.glasslab.com.br/reagentes-e-meios/acido-oxalico-cristal-2h2o-pa-500g?parceiro=6858&amp;srsltid=Ad5pg_F043tuxYUX2g7iDE9oKuFLCr72pNOOn0m1U5spM-QOkFUmdxJ-9_8" TargetMode="External"/><Relationship Id="rId74" Type="http://schemas.openxmlformats.org/officeDocument/2006/relationships/hyperlink" Target="https://www.orionprodutoscientificos.com.br/acido-oxalico-cristal-2h2o-pa-500g-exodo-cientifica?utm_source=Site&amp;utm_medium=GoogleMerchant&amp;utm_campaign=GoogleMerchant" TargetMode="External"/><Relationship Id="rId75" Type="http://schemas.openxmlformats.org/officeDocument/2006/relationships/hyperlink" Target="https://www.lojasynth.com/reagentes-analiticosmaterias-primas/reagentes-analiticosmaterias-primas/acido-oxalico-2h2o-p-a-a-c-s?parceiro=2827&amp;gclid=Cj0KCQiAgaGgBhC8ARIsAAAyLfG6c3oa_ghHHZQ8bgGzGbD6w_Rrk5KmLB3E2KAEumikfzDsXq2wnNwaAqhGEALw_wcB&amp;variant_id=3017" TargetMode="External"/><Relationship Id="rId76" Type="http://schemas.openxmlformats.org/officeDocument/2006/relationships/hyperlink" Target="https://sipac.sig.ufal.br/sipac/visualizaMaterial.do?popup=true&amp;id=10606&amp;acao=12" TargetMode="External"/><Relationship Id="rId77" Type="http://schemas.openxmlformats.org/officeDocument/2006/relationships/hyperlink" Target="https://www.sigmaaldrich.com/BR/pt/product/sigald/244252" TargetMode="External"/><Relationship Id="rId78" Type="http://schemas.openxmlformats.org/officeDocument/2006/relationships/hyperlink" Target="https://sipac.sig.ufal.br/sipac/visualizaMaterial.do?popup=true&amp;id=28190&amp;acao=12" TargetMode="External"/><Relationship Id="rId79" Type="http://schemas.openxmlformats.org/officeDocument/2006/relationships/hyperlink" Target="https://sipac.sig.ufal.br/sipac/visualizaMaterial.do?popup=true&amp;id=23024&amp;acao=12" TargetMode="External"/><Relationship Id="rId80" Type="http://schemas.openxmlformats.org/officeDocument/2006/relationships/hyperlink" Target="https://sipac.sig.ufal.br/sipac/visualizaMaterial.do?popup=true&amp;id=23027&amp;acao=12" TargetMode="External"/><Relationship Id="rId81" Type="http://schemas.openxmlformats.org/officeDocument/2006/relationships/hyperlink" Target="https://myhexis.com.br/index.php?option=com_movimentacao&amp;op=PROD&amp;task=detalhar&amp;produto_id=HX0269-00008" TargetMode="External"/><Relationship Id="rId82" Type="http://schemas.openxmlformats.org/officeDocument/2006/relationships/hyperlink" Target="https://www.glasslab.com.br/reagentes-e-meios/acido-sulfurico-95-98-pa-acs-1l" TargetMode="External"/><Relationship Id="rId83" Type="http://schemas.openxmlformats.org/officeDocument/2006/relationships/hyperlink" Target="https://www.didaticasp.com.br/produto/acido-sulfurico-pa-acs-1l-cas-7664-93-9-pfssp-concentracao-98-densidade-184.html" TargetMode="External"/><Relationship Id="rId84" Type="http://schemas.openxmlformats.org/officeDocument/2006/relationships/hyperlink" Target="https://sipac.sig.ufal.br/sipac/visualizaMaterial.do?popup=true&amp;id=15923&amp;acao=12" TargetMode="External"/><Relationship Id="rId85" Type="http://schemas.openxmlformats.org/officeDocument/2006/relationships/hyperlink" Target="https://www.glasslab.com.br/reagentes-e-meios/acido-tricloroacetico-pa-acs-500g?parceiro=6858&amp;gclid=Cj0KCQiAgaGgBhC8ARIsAAAyLfEJMZZ1Qq2aGQKQjOXZ4IQ45YGMcHlzVLwpT_R1PEwHb4N6HjYW7GoaAnwIEALw_wcB" TargetMode="External"/><Relationship Id="rId86" Type="http://schemas.openxmlformats.org/officeDocument/2006/relationships/hyperlink" Target="https://www.acsreagentes.com.br/acido-tricloroacetico-pa-acs-100g-acs-cientifica?utm_source=Site&amp;utm_medium=GoogleMerchant&amp;utm_campaign=GoogleMerchant" TargetMode="External"/><Relationship Id="rId87" Type="http://schemas.openxmlformats.org/officeDocument/2006/relationships/hyperlink" Target="https://www.lojanetlab.com.br/acido-tricloroacetico-pa-acs-100gr-dinamica" TargetMode="External"/><Relationship Id="rId88" Type="http://schemas.openxmlformats.org/officeDocument/2006/relationships/hyperlink" Target="https://sipac.sig.ufal.br/sipac/visualizaMaterial.do?popup=true&amp;id=23003&amp;acao=12" TargetMode="External"/><Relationship Id="rId89" Type="http://schemas.openxmlformats.org/officeDocument/2006/relationships/hyperlink" Target="https://www.lojanetlab.com.br/agar-bacteriologico-kasvi-k25-611001?parceiro=7105&amp;gclid=Cj0KCQiAgaGgBhC8ARIsAAAyLfFdlSt4hkidcwL-sG4NlTI_cQhbiN9-3xsWDd4S4sgjCMzUoEiEJDoaAlD8EALw_wcB" TargetMode="External"/><Relationship Id="rId90" Type="http://schemas.openxmlformats.org/officeDocument/2006/relationships/hyperlink" Target="https://www.orionprodutoscientificos.com.br/agar-grau-bacteriologico-frasco-500g-himedia?utm_source=Site&amp;utm_medium=GoogleMerchant&amp;utm_campaign=GoogleMerchant" TargetMode="External"/><Relationship Id="rId91" Type="http://schemas.openxmlformats.org/officeDocument/2006/relationships/hyperlink" Target="https://www.glasslab.com.br/reagentes-e-meios/agar-bacteriologico-frasco-500g-ref-k25-1800-kasvi?parceiro=6858&amp;gclid=Cj0KCQiAgaGgBhC8ARIsAAAyLfGr8c2oMN-Nt3ldWB4VtAcBV0rGulaAh8H_uldXvsDG9n1h-HnIWhgaAvwjEALw_wcB" TargetMode="External"/><Relationship Id="rId92" Type="http://schemas.openxmlformats.org/officeDocument/2006/relationships/hyperlink" Target="https://sipac.sig.ufal.br/sipac/visualizaMaterial.do?popup=true&amp;id=28223&amp;acao=12" TargetMode="External"/><Relationship Id="rId93" Type="http://schemas.openxmlformats.org/officeDocument/2006/relationships/hyperlink" Target="https://www.orionprodutoscientificos.com.br/agar-base-sangue-columbia-frasco-500g-himedia?utm_source=Site&amp;utm_medium=GoogleMerchant&amp;utm_campaign=GoogleMerchant" TargetMode="External"/><Relationship Id="rId94" Type="http://schemas.openxmlformats.org/officeDocument/2006/relationships/hyperlink" Target="https://www.lkpdiagnosticos.com.br/meios-de-cultura/7125-agar-base-sangue-columbia-columbia-blood-agar-base-500g?parceiro=3898" TargetMode="External"/><Relationship Id="rId95" Type="http://schemas.openxmlformats.org/officeDocument/2006/relationships/hyperlink" Target="https://www.forlabexpress.com.br/agar-base-columbia-frasco-500g-himedia" TargetMode="External"/><Relationship Id="rId96" Type="http://schemas.openxmlformats.org/officeDocument/2006/relationships/hyperlink" Target="https://sipac.sig.ufal.br/sipac/visualizaMaterial.do?popup=true&amp;id=25889&amp;acao=12" TargetMode="External"/><Relationship Id="rId97" Type="http://schemas.openxmlformats.org/officeDocument/2006/relationships/hyperlink" Target="https://www.forlabexpress.com.br/agar-bile-esculina-500g-kasvi?parceiro=3512&amp;srsltid=Ad5pg_HHs8pm4x3ZB628a8px8vBauvbowx_x52Xla4UfOTscMzDj6r618xI" TargetMode="External"/><Relationship Id="rId98" Type="http://schemas.openxmlformats.org/officeDocument/2006/relationships/hyperlink" Target="https://www.orionprodutoscientificos.com.br/agar-bile-esculina-frasco-500g-himedia" TargetMode="External"/><Relationship Id="rId99" Type="http://schemas.openxmlformats.org/officeDocument/2006/relationships/hyperlink" Target="https://www.biosynesis.com.br/produto/agar-bile-esculina-frasco-500g.html?srsltid=Ad5pg_EFT-hbHeuflvcR4wHoDW_jHi0khyP-nT7ZNAKXDS3Y_YN3CkUq9vg" TargetMode="External"/><Relationship Id="rId100" Type="http://schemas.openxmlformats.org/officeDocument/2006/relationships/hyperlink" Target="https://sipac.sig.ufal.br/sipac/visualizaMaterial.do?popup=true&amp;id=25894&amp;acao=12" TargetMode="External"/><Relationship Id="rId101" Type="http://schemas.openxmlformats.org/officeDocument/2006/relationships/hyperlink" Target="https://www.orionprodutoscientificos.com.br/agar-lisina-ferro-lia-frasco-500g-himedia?utm_source=Site&amp;utm_medium=GoogleMerchant&amp;utm_campaign=GoogleMerchant" TargetMode="External"/><Relationship Id="rId102" Type="http://schemas.openxmlformats.org/officeDocument/2006/relationships/hyperlink" Target="https://www.forlabexpress.com.br/agar-lisina-ferro-lia-kasvi-frasco-500g?parceiro=3512&amp;srsltid=Ad5pg_HKdi4EkWJqpqY_-SoLlj7JhOefYtwOPlUJF_piSUc7E7oilDJrbNE" TargetMode="External"/><Relationship Id="rId103" Type="http://schemas.openxmlformats.org/officeDocument/2006/relationships/hyperlink" Target="https://www.lojanetlab.com.br/meios-de-cultura/agar/agar-lisina-ferro-lia-frasco-500g-k25-610027-kasvi" TargetMode="External"/><Relationship Id="rId104" Type="http://schemas.openxmlformats.org/officeDocument/2006/relationships/hyperlink" Target="https://sipac.sig.ufal.br/sipac/visualizaMaterial.do?popup=true&amp;id=25895&amp;acao=12" TargetMode="External"/><Relationship Id="rId105" Type="http://schemas.openxmlformats.org/officeDocument/2006/relationships/hyperlink" Target="https://www.orionprodutoscientificos.com.br/caldo-mac-conkey-frasco-500g-himedia?utm_source=Site&amp;utm_medium=GoogleMerchant&amp;utm_campaign=GoogleMerchant" TargetMode="External"/><Relationship Id="rId106" Type="http://schemas.openxmlformats.org/officeDocument/2006/relationships/hyperlink" Target="https://www.glasslab.com.br/reagentes-e-meios/agar-mac-conkey-frasco-500g-k25-1052-kasvi?parceiro=6858&amp;srsltid=Ad5pg_EkeMcyE1oDGKIfWcJWkVN-RKaMGRRms2ROh4yU9vMWkCqssKD9PvE" TargetMode="External"/><Relationship Id="rId107" Type="http://schemas.openxmlformats.org/officeDocument/2006/relationships/hyperlink" Target="https://www.forlabexpress.com.br/agar-mac-conkey-kasvi-frasco-500g?parceiro=3512&amp;srsltid=Ad5pg_GLv-hLqwOLV81Ni6UlugyaYZDiy1VBo_OK65z26IBoru0trDfF07I" TargetMode="External"/><Relationship Id="rId108" Type="http://schemas.openxmlformats.org/officeDocument/2006/relationships/hyperlink" Target="https://sipac.sig.ufal.br/sipac/visualizaMaterial.do?popup=true&amp;id=23010&amp;acao=12" TargetMode="External"/><Relationship Id="rId109" Type="http://schemas.openxmlformats.org/officeDocument/2006/relationships/hyperlink" Target="https://www.glasslab.com.br/reagentes-e-meios/agar-mueller-hinton-frasco-500g-ref-k25-1058-kasvi?parceiro=6858&amp;gclid=Cj0KCQiAgaGgBhC8ARIsAAAyLfGBteTTiKBrXyKugZcdQr-bxHBJwzd-aOsqkVuWwOIOrbxPVms5uzwaAkwxEALw_wcB" TargetMode="External"/><Relationship Id="rId110" Type="http://schemas.openxmlformats.org/officeDocument/2006/relationships/hyperlink" Target="https://www.orionprodutoscientificos.com.br/agar-mueller-hinton-frasco-500g-himedia?utm_source=Site&amp;utm_medium=GoogleMerchant&amp;utm_campaign=GoogleMerchant" TargetMode="External"/><Relationship Id="rId111" Type="http://schemas.openxmlformats.org/officeDocument/2006/relationships/hyperlink" Target="https://www.lojanetlab.com.br/meios-de-cultura/agar/agar-mueller-hinton-frasco-500g-ref-k25-610033-kasvi" TargetMode="External"/><Relationship Id="rId112" Type="http://schemas.openxmlformats.org/officeDocument/2006/relationships/hyperlink" Target="https://sipac.sig.ufal.br/sipac/visualizaMaterial.do?popup=true&amp;id=30621&amp;acao=12" TargetMode="External"/><Relationship Id="rId113" Type="http://schemas.openxmlformats.org/officeDocument/2006/relationships/hyperlink" Target="https://www.lojanetlab.com.br/meios-de-cultura/agar/agar-sabouraud-dextrose-frasco-500g-k25-610103-kasvi" TargetMode="External"/><Relationship Id="rId114" Type="http://schemas.openxmlformats.org/officeDocument/2006/relationships/hyperlink" Target="https://ludwigbiotec.com.br/loja/produto/agar-sabouraud-dextrose-500-g/146" TargetMode="External"/><Relationship Id="rId115" Type="http://schemas.openxmlformats.org/officeDocument/2006/relationships/hyperlink" Target="https://www.forlabexpress.com.br/agar-sabouraud-dextrose-kasvi-frasco-500g" TargetMode="External"/><Relationship Id="rId116" Type="http://schemas.openxmlformats.org/officeDocument/2006/relationships/hyperlink" Target="https://sipac.sig.ufal.br/sipac/visualizaMaterial.do?popup=true&amp;id=28193&amp;acao=12" TargetMode="External"/><Relationship Id="rId117" Type="http://schemas.openxmlformats.org/officeDocument/2006/relationships/hyperlink" Target="https://www.forlabexpress.com.br/agar-sangue-base-frasco-500g-himedia" TargetMode="External"/><Relationship Id="rId118" Type="http://schemas.openxmlformats.org/officeDocument/2006/relationships/hyperlink" Target="https://www.lojanetlab.com.br/meios-de-cultura/agar/agar-sangue-base-frasco-500g-k25-610005-kasvi" TargetMode="External"/><Relationship Id="rId119" Type="http://schemas.openxmlformats.org/officeDocument/2006/relationships/hyperlink" Target="https://www.dsyslab.com.br/meios-de-cultura/agar-em-po-desidratado/agar-sangue-base-agar-infusao-frasco-com-500-gramas-himedia" TargetMode="External"/><Relationship Id="rId120" Type="http://schemas.openxmlformats.org/officeDocument/2006/relationships/hyperlink" Target="https://sipac.sig.ufal.br/sipac/visualizaMaterial.do?popup=true&amp;id=28194&amp;acao=12" TargetMode="External"/><Relationship Id="rId121" Type="http://schemas.openxmlformats.org/officeDocument/2006/relationships/hyperlink" Target="https://www.outlet.sinergiacientifica.com.br/microbiologia/agar-sim-medium-500g?parceiro=8522" TargetMode="External"/><Relationship Id="rId122" Type="http://schemas.openxmlformats.org/officeDocument/2006/relationships/hyperlink" Target="https://www.lkpdiagnosticos.com.br/meios-de-cultura/7221-agar-sim-sim-medium-500g?parceiro=3898" TargetMode="External"/><Relationship Id="rId123" Type="http://schemas.openxmlformats.org/officeDocument/2006/relationships/hyperlink" Target="https://www.primecirurgica.com.br/meio-sim-frasco-500gr-kasvi-p3202/p" TargetMode="External"/><Relationship Id="rId124" Type="http://schemas.openxmlformats.org/officeDocument/2006/relationships/hyperlink" Target="https://sipac.sig.ufal.br/sipac/visualizaMaterial.do?popup=true&amp;id=28201&amp;acao=12" TargetMode="External"/><Relationship Id="rId125" Type="http://schemas.openxmlformats.org/officeDocument/2006/relationships/hyperlink" Target="https://www.forlabexpress.com.br/agar-triplice-acucar-ferro-tsi-frasco-500g-himedia" TargetMode="External"/><Relationship Id="rId126" Type="http://schemas.openxmlformats.org/officeDocument/2006/relationships/hyperlink" Target="https://ludwigbiotec.com.br/loja/produto/agar-triplice-acucar-ferro-tsi/152" TargetMode="External"/><Relationship Id="rId127" Type="http://schemas.openxmlformats.org/officeDocument/2006/relationships/hyperlink" Target="https://www.lojanetlab.com.br/meios-de-cultura/agar/agar-triplice-acucar-ferro-tsi-frasco-500g-k25-610055-kasvi" TargetMode="External"/><Relationship Id="rId128" Type="http://schemas.openxmlformats.org/officeDocument/2006/relationships/hyperlink" Target="https://sipac.sig.ufal.br/sipac/visualizaMaterial.do?popup=true&amp;id=28224&amp;acao=12" TargetMode="External"/><Relationship Id="rId129" Type="http://schemas.openxmlformats.org/officeDocument/2006/relationships/hyperlink" Target="https://www.dsyslab.com.br/meios-de-cultura/agar-em-po-desidratado/agar-base-ureia-christensen-frasco-com-500-gramas-himedia" TargetMode="External"/><Relationship Id="rId130" Type="http://schemas.openxmlformats.org/officeDocument/2006/relationships/hyperlink" Target="https://ludwigbiotec.com.br/loja/produto/agar-ureia-base-500-g/155" TargetMode="External"/><Relationship Id="rId131" Type="http://schemas.openxmlformats.org/officeDocument/2006/relationships/hyperlink" Target="https://www.forlabexpress.com.br/agar-ureia-base-kasvi-frasco-500g" TargetMode="External"/><Relationship Id="rId132" Type="http://schemas.openxmlformats.org/officeDocument/2006/relationships/hyperlink" Target="https://sipac.sig.ufal.br/sipac/visualizaMaterial.do?popup=true&amp;id=31091&amp;acao=12" TargetMode="External"/><Relationship Id="rId133" Type="http://schemas.openxmlformats.org/officeDocument/2006/relationships/hyperlink" Target="https://sipac.sig.ufal.br/sipac/visualizaMaterial.do?popup=true&amp;id=28225&amp;acao=12" TargetMode="External"/><Relationship Id="rId134" Type="http://schemas.openxmlformats.org/officeDocument/2006/relationships/hyperlink" Target="https://www.forlabexpress.com.br/agua-peptona-tamponada-kasvi-frasco-500g" TargetMode="External"/><Relationship Id="rId135" Type="http://schemas.openxmlformats.org/officeDocument/2006/relationships/hyperlink" Target="https://www.lkpdiagnosticos.com.br/meios-de-cultura/k25-611014-agua-peptona-tamponada-frasco-500g" TargetMode="External"/><Relationship Id="rId136" Type="http://schemas.openxmlformats.org/officeDocument/2006/relationships/hyperlink" Target="https://ludwigbiotec.com.br/loja/produto/agua-peptona-tamponada-500-g/212" TargetMode="External"/><Relationship Id="rId137" Type="http://schemas.openxmlformats.org/officeDocument/2006/relationships/hyperlink" Target="https://sipac.sig.ufal.br/sipac/visualizaMaterial.do?popup=true&amp;id=23371&amp;acao=12" TargetMode="External"/><Relationship Id="rId138" Type="http://schemas.openxmlformats.org/officeDocument/2006/relationships/hyperlink" Target="https://www.noxsolutions.com.br/alaranjado-de-metila-pa-25g" TargetMode="External"/><Relationship Id="rId139" Type="http://schemas.openxmlformats.org/officeDocument/2006/relationships/hyperlink" Target="https://www.orionprodutoscientificos.com.br/alaranjado-de-metila-p-a-acs-25-g-fabricante-neon" TargetMode="External"/><Relationship Id="rId140" Type="http://schemas.openxmlformats.org/officeDocument/2006/relationships/hyperlink" Target="https://www.lojanetlab.com.br/reagentes/pa/alaranjado-de-metila-pa-acs-25g" TargetMode="External"/><Relationship Id="rId141" Type="http://schemas.openxmlformats.org/officeDocument/2006/relationships/hyperlink" Target="https://sipac.sig.ufal.br/sipac/visualizaMaterial.do?popup=true&amp;id=23000&amp;acao=12" TargetMode="External"/><Relationship Id="rId142" Type="http://schemas.openxmlformats.org/officeDocument/2006/relationships/hyperlink" Target="https://www.acsreagentes.com.br/alcool-butilico-normal-paacs-butanol-1-1l-acs-cientifica?utm_source=Site&amp;utm_medium=GoogleMerchant&amp;utm_campaign=GoogleMerchant" TargetMode="External"/><Relationship Id="rId143" Type="http://schemas.openxmlformats.org/officeDocument/2006/relationships/hyperlink" Target="https://www.glasslab.com.br/reagentes-e-meios/alcool-butilico-normal-pa-acs-1l?parceiro=6858&amp;srsltid=Ad5pg_FP7ZhKAQbP7gPlEN5NaJiRmUuFh7aNukVQ6ZrzsBb1t6nnSrJSTB0" TargetMode="External"/><Relationship Id="rId144" Type="http://schemas.openxmlformats.org/officeDocument/2006/relationships/hyperlink" Target="https://www.labimport.com.br/reagentes/alcool-butilico/alcool-butilico-normal-pa-acs-butanol-1-1-l" TargetMode="External"/><Relationship Id="rId145" Type="http://schemas.openxmlformats.org/officeDocument/2006/relationships/hyperlink" Target="https://sipac.sig.ufal.br/sipac/visualizaMaterial.do?popup=true&amp;id=28202&amp;acao=12" TargetMode="External"/><Relationship Id="rId146" Type="http://schemas.openxmlformats.org/officeDocument/2006/relationships/hyperlink" Target="https://www.theravita.com.br/alcool-70-liquido-1-l-sol?gclid=Cj0KCQiApKagBhC1ARIsAFc7Mc60lFUvffRPPUXoRKy6-DP6DAB_tuG-bxOvHV8UFph5hs2cBfP-3-0aAoSmEALw_wcB" TargetMode="External"/><Relationship Id="rId147" Type="http://schemas.openxmlformats.org/officeDocument/2006/relationships/hyperlink" Target="https://www.otimadistribuidora.com.br/material-de-limpeza/saneantes/alcool-70-1000ml-itaja?parceiro=1129&amp;gclid=Cj0KCQiApKagBhC1ARIsAFc7Mc7UGepgaiQnv4ivUeUa98Q3hB-c5vS1DEN4G0OcSAHptvbRuemEPLEaAoiFEALw_wcB" TargetMode="External"/><Relationship Id="rId148" Type="http://schemas.openxmlformats.org/officeDocument/2006/relationships/hyperlink" Target="https://www.alexfarma.com.br/alcool-70--cruzeiro-1lt/p?idsku=222" TargetMode="External"/><Relationship Id="rId149" Type="http://schemas.openxmlformats.org/officeDocument/2006/relationships/hyperlink" Target="https://sipac.sig.ufal.br/sipac/visualizaMaterial.do?popup=true&amp;id=2081&amp;acao=12" TargetMode="External"/><Relationship Id="rId150" Type="http://schemas.openxmlformats.org/officeDocument/2006/relationships/hyperlink" Target="https://www.biomedh.com.br/007017/alcool-etilico-absoluto-995-frplast-pa-1000ml.html" TargetMode="External"/><Relationship Id="rId151" Type="http://schemas.openxmlformats.org/officeDocument/2006/relationships/hyperlink" Target="https://www.acsreagentes.com.br/alcool-etilico-absoluto-998-pa-acs-1l-frasco-de-vidro-acs-cientifica?utm_source=Site&amp;utm_medium=GoogleMerchant&amp;utm_campaign=GoogleMerchant" TargetMode="External"/><Relationship Id="rId152" Type="http://schemas.openxmlformats.org/officeDocument/2006/relationships/hyperlink" Target="https://www.dsyslab.com.br/reagentes/alcool-etilico-absoluto-pa-99-8-cas-64-17-5-onu-1170-frasco-plastico-com-1l-ae06689ra-exodo?parceiro=7063&amp;srsltid=Ad5pg_G06enaUv73CInZIBc0P1YU1rmXP3q8Vzyr7E8XO-o-UgY03Ia8g_A" TargetMode="External"/><Relationship Id="rId153" Type="http://schemas.openxmlformats.org/officeDocument/2006/relationships/hyperlink" Target="https://sipac.sig.ufal.br/sipac/visualizaMaterial.do?popup=true&amp;id=28211&amp;acao=12" TargetMode="External"/><Relationship Id="rId154" Type="http://schemas.openxmlformats.org/officeDocument/2006/relationships/hyperlink" Target="https://www.orionprodutoscientificos.com.br/alcool-etilico-absoluto-p-a-acs-iso-1l-fabricante-exodo-cientifica?utm_source=Site&amp;utm_medium=GoogleMerchant&amp;utm_campaign=GoogleMerchant" TargetMode="External"/><Relationship Id="rId155" Type="http://schemas.openxmlformats.org/officeDocument/2006/relationships/hyperlink" Target="https://www.glasslab.com.br/reagentes-e-meios/alcool-etilico-abs-pa-acs-iso-99-100-1l?parceiro=6858&amp;srsltid=Ad5pg_Eeitz-bZ82cmVWtgwg0yeX9BAdyLSjN-Jx9aGt7b7RdIOQgXmcDB8" TargetMode="External"/><Relationship Id="rId156" Type="http://schemas.openxmlformats.org/officeDocument/2006/relationships/hyperlink" Target="https://sipac.sig.ufal.br/sipac/visualizaMaterial.do?popup=true&amp;id=23097&amp;acao=12" TargetMode="External"/><Relationship Id="rId157" Type="http://schemas.openxmlformats.org/officeDocument/2006/relationships/hyperlink" Target="https://www.dentalmaster.com.br/alcool-etilico-hidratado-96----prolink/p?idsku=2008560" TargetMode="External"/><Relationship Id="rId158" Type="http://schemas.openxmlformats.org/officeDocument/2006/relationships/hyperlink" Target="https://www.dentalspeed.com/modelo/alcool-prolink-96-1l-prolink-15275?srsltid=Ad5pg_FBMZBG7qODa1kfZ8Qsl8yj_jR4L-GHsKQ9J81ds0AOxfNcXIp87tg" TargetMode="External"/><Relationship Id="rId159" Type="http://schemas.openxmlformats.org/officeDocument/2006/relationships/hyperlink" Target="https://www.quanticaw.com.br/alcool-96-1litro-p67" TargetMode="External"/><Relationship Id="rId160" Type="http://schemas.openxmlformats.org/officeDocument/2006/relationships/hyperlink" Target="https://sipac.sig.ufal.br/sipac/visualizaMaterial.do?popup=true&amp;id=30787&amp;acao=12" TargetMode="External"/><Relationship Id="rId161" Type="http://schemas.openxmlformats.org/officeDocument/2006/relationships/hyperlink" Target="https://www.acsreagentes.com.br/alcool-propilico-iso-pa-acs-2-propanol-1l-acs-cientifica?utm_source=Site&amp;utm_medium=GoogleMerchant&amp;utm_campaign=GoogleMerchant&amp;gclid=Cj0KCQiAx6ugBhCcARIsAGNmMbj4avjfB7pQZTvzDNs2HGPbvviFhLAIrOMOi0YPUOj18x2hPOivFW8aAvUpEALw_w" TargetMode="External"/><Relationship Id="rId162" Type="http://schemas.openxmlformats.org/officeDocument/2006/relationships/hyperlink" Target="https://www.glasslab.com.br/reagentes-e-meios/alcool-iso-propilico-pa-acs-1l?parceiro=6858&amp;gclid=Cj0KCQiAx6ugBhCcARIsAGNmMbjhTpOsZK0MskqGu3x8ACYs9yxZblduVClnZbUJsL5nNb1ONDkU9kkaAgS4EALw_wcB" TargetMode="External"/><Relationship Id="rId163" Type="http://schemas.openxmlformats.org/officeDocument/2006/relationships/hyperlink" Target="https://www.dsyslab.com.br/reagentes/alcool/alcool-isopropilico-pa-acs-2-propanol-frasco-com-1-litro-mod-ai09965ra-onu-1219-exodo?parceiro=7063&amp;srsltid=Ad5pg_E2Bkytur1NvVa9v25chTViVXftwcHIOeFmdJxbHr-exbsQrqg07wk" TargetMode="External"/><Relationship Id="rId164" Type="http://schemas.openxmlformats.org/officeDocument/2006/relationships/hyperlink" Target="https://sipac.sig.ufal.br/sipac/visualizaMaterial.do?popup=true&amp;id=23277&amp;acao=12" TargetMode="External"/><Relationship Id="rId165" Type="http://schemas.openxmlformats.org/officeDocument/2006/relationships/hyperlink" Target="https://www.orionprodutoscientificos.com.br/alcool-propilico-iso-uv-hplc-plus-1l-fabricante-exodo-cientifica?utm_source=Site&amp;utm_medium=GoogleMerchant&amp;utm_campaign=GoogleMerchant" TargetMode="External"/><Relationship Id="rId166" Type="http://schemas.openxmlformats.org/officeDocument/2006/relationships/hyperlink" Target="https://www.glasslab.com.br/reagentes-e-meios/alcool-iso-propilico-hplc-1l?parceiro=6858&amp;srsltid=Ad5pg_FGhXqpeLx_cyub8cvUOTiBEPQk_brai-CxqCmBHdv4Go8AOG_34-k" TargetMode="External"/><Relationship Id="rId167" Type="http://schemas.openxmlformats.org/officeDocument/2006/relationships/hyperlink" Target="https://www.didaticasp.com.br/alcool-isopropilico-uvhplc-espectroscopico-2-propanol-isopropanol-1l" TargetMode="External"/><Relationship Id="rId168" Type="http://schemas.openxmlformats.org/officeDocument/2006/relationships/hyperlink" Target="https://sipac.sig.ufal.br/sipac/visualizaMaterial.do?popup=true&amp;id=2082&amp;acao=12" TargetMode="External"/><Relationship Id="rId169" Type="http://schemas.openxmlformats.org/officeDocument/2006/relationships/hyperlink" Target="https://www.labimport.com.br/reagentes/alcool/alcool-metilico-pa-acs-1-l-11701" TargetMode="External"/><Relationship Id="rId170" Type="http://schemas.openxmlformats.org/officeDocument/2006/relationships/hyperlink" Target="https://www.acsreagentes.com.br/alcool-metilico-pa-acs-1l-acs-cientifica?utm_source=Site&amp;utm_medium=GoogleMerchant&amp;utm_campaign=GoogleMerchant" TargetMode="External"/><Relationship Id="rId171" Type="http://schemas.openxmlformats.org/officeDocument/2006/relationships/hyperlink" Target="https://www.biomedh.com.br/007197/alcool-metilico-metanol-pa-acs-790g-1000ml.html" TargetMode="External"/><Relationship Id="rId172" Type="http://schemas.openxmlformats.org/officeDocument/2006/relationships/hyperlink" Target="https://sipac.sig.ufal.br/sipac/visualizaMaterial.do?popup=true&amp;id=5598&amp;acao=12" TargetMode="External"/><Relationship Id="rId173" Type="http://schemas.openxmlformats.org/officeDocument/2006/relationships/hyperlink" Target="https://www.acsreagentes.com.br/alcool-metilico-metanol-hplc-uv-1l-acs-cientifica?utm_source=Site&amp;utm_medium=GoogleMerchant&amp;utm_campaign=GoogleMerchant" TargetMode="External"/><Relationship Id="rId174" Type="http://schemas.openxmlformats.org/officeDocument/2006/relationships/hyperlink" Target="https://www.didaticasp.com.br/produto/alcool-metilico-uvhplc-4l-cas-67-56-1-ssp.html" TargetMode="External"/><Relationship Id="rId175" Type="http://schemas.openxmlformats.org/officeDocument/2006/relationships/hyperlink" Target="https://sipac.sig.ufal.br/sipac/visualizaMaterial.do?popup=true&amp;id=2422&amp;acao=12" TargetMode="External"/><Relationship Id="rId176" Type="http://schemas.openxmlformats.org/officeDocument/2006/relationships/hyperlink" Target="https://www.acsreagentes.com.br/alcool-propilico-normal-pa-1-propanol-1l-acs-cientifica?utm_source=Site&amp;utm_medium=GoogleMerchant&amp;utm_campaign=GoogleMerchant&amp;gclid=Cj0KCQiAx6ugBhCcARIsAGNmMbgcuNnc3TbL5o6PvZFLIPT874aNLGHUUV7iBWDqh1VflxLeKgwq564aAlPKEALw_wc" TargetMode="External"/><Relationship Id="rId177" Type="http://schemas.openxmlformats.org/officeDocument/2006/relationships/hyperlink" Target="https://www.glasslab.com.br/reagentes-e-meios/alcool-propilico-normal-pa-1l?parceiro=6858&amp;gclid=Cj0KCQiAx6ugBhCcARIsAGNmMbiY2X9vd1GwjTYJWkYQu8xAjCbE2rcBywlZHoLXdw-drKTNk6GZ8JkaArgpEALw_wcB" TargetMode="External"/><Relationship Id="rId178" Type="http://schemas.openxmlformats.org/officeDocument/2006/relationships/hyperlink" Target="https://www.didaticasp.com.br/produto/alcool-n-propilico-pa-1l-cas-71-23-8-ssp.html" TargetMode="External"/><Relationship Id="rId179" Type="http://schemas.openxmlformats.org/officeDocument/2006/relationships/hyperlink" Target="https://sipac.sig.ufal.br/sipac/visualizaMaterial.do?popup=true&amp;id=23479&amp;acao=12" TargetMode="External"/><Relationship Id="rId180" Type="http://schemas.openxmlformats.org/officeDocument/2006/relationships/hyperlink" Target="https://www.lojaprolab.com.br/alizarina-pa-81202" TargetMode="External"/><Relationship Id="rId181" Type="http://schemas.openxmlformats.org/officeDocument/2006/relationships/hyperlink" Target="https://www.orionprodutoscientificos.com.br/alizarina-ci-58000-pa-25g-exodo-cientifica" TargetMode="External"/><Relationship Id="rId182" Type="http://schemas.openxmlformats.org/officeDocument/2006/relationships/hyperlink" Target="https://www.glasslab.com.br/reagentes-e-meios/alizarina-ci-58000-pa-25g?parceiro=6858&amp;gclid=Cj0KCQiAx6ugBhCcARIsAGNmMbhkok3MVosxZCgj59tCaUfhndbTbpahvbPF6xAUEAuwe62YCo75C1UaAigjEALw_wcB" TargetMode="External"/><Relationship Id="rId183" Type="http://schemas.openxmlformats.org/officeDocument/2006/relationships/hyperlink" Target="https://sipac.sig.ufal.br/sipac/visualizaMaterial.do?popup=true&amp;id=30772&amp;acao=12" TargetMode="External"/><Relationship Id="rId184" Type="http://schemas.openxmlformats.org/officeDocument/2006/relationships/hyperlink" Target="https://www.acsreagentes.com.br/aluminio-em-po-997-pa-100g-acs-cientifica?utm_source=Site&amp;utm_medium=GoogleMerchant&amp;utm_campaign=GoogleMerchant&amp;gclid=Cj0KCQiAx6ugBhCcARIsAGNmMbhdmBHy8nME7j4HmV4TRRlaQsyE1MXWl2zMURRp2X18JTNcJCZtNaoaAo8XEALw_wcB" TargetMode="External"/><Relationship Id="rId185" Type="http://schemas.openxmlformats.org/officeDocument/2006/relationships/hyperlink" Target="https://sipac.sig.ufal.br/sipac/visualizaMaterial.do?popup=true&amp;id=2209&amp;acao=12" TargetMode="External"/><Relationship Id="rId186" Type="http://schemas.openxmlformats.org/officeDocument/2006/relationships/hyperlink" Target="https://www.dsyslab.com.br/reagentes/amido/amido-soluvel-pa-acs-frasco-com-500g-as06585ra-exodo?parceiro=7063&amp;srsltid=Ad5pg_FPo2fjo3K1M9U-9OpaF42L8PN6wwtQpyqe6aXvysaQQSDD0QIO9YU" TargetMode="External"/><Relationship Id="rId187" Type="http://schemas.openxmlformats.org/officeDocument/2006/relationships/hyperlink" Target="https://www.orionprodutoscientificos.com.br/amido-soluvel-pa-acs-500g-exodo-cientifica?utm_source=Site&amp;utm_medium=GoogleMerchant&amp;utm_campaign=GoogleMerchant" TargetMode="External"/><Relationship Id="rId188" Type="http://schemas.openxmlformats.org/officeDocument/2006/relationships/hyperlink" Target="https://sipac.sig.ufal.br/sipac/visualizaMaterial.do?popup=true&amp;id=145&amp;acao=12" TargetMode="External"/><Relationship Id="rId189" Type="http://schemas.openxmlformats.org/officeDocument/2006/relationships/hyperlink" Target="https://www.glasslab.com.br/reagentes-e-meios/anidrido-acetico-pa-acs-1l?parceiro=6858&amp;srsltid=Ad5pg_FQn0UB83saMdV43JQCykvXq6z0tjyu2Gp2-1JzKPuxOXmHf8z2QxE" TargetMode="External"/><Relationship Id="rId190" Type="http://schemas.openxmlformats.org/officeDocument/2006/relationships/hyperlink" Target="https://sipac.sig.ufal.br/sipac/visualizaMaterial.do?popup=true&amp;id=30414&amp;acao=12" TargetMode="External"/><Relationship Id="rId191" Type="http://schemas.openxmlformats.org/officeDocument/2006/relationships/hyperlink" Target="https://www.sigmaaldrich.com/BR/pt/product/sigma/a2765" TargetMode="External"/><Relationship Id="rId192" Type="http://schemas.openxmlformats.org/officeDocument/2006/relationships/hyperlink" Target="https://sipac.sig.ufal.br/sipac/visualizaMaterial.do?popup=true&amp;id=21042&amp;acao=12" TargetMode="External"/><Relationship Id="rId193" Type="http://schemas.openxmlformats.org/officeDocument/2006/relationships/hyperlink" Target="https://www.acsreagentes.com.br/azul-de-alcian-alcian-blue-ci-74240-10g-acs-cientifica?utm_source=Site&amp;utm_medium=GoogleMerchant&amp;utm_campaign=GoogleMerchant&amp;gclid=Cj0KCQjwk7ugBhDIARIsAGuvgPZdc-pbcXC_OmhmWIrVXExsRO6AT6arZpAHIT3I_xzoZoDStNcC9FwaAgFaEALw_wcB" TargetMode="External"/><Relationship Id="rId194" Type="http://schemas.openxmlformats.org/officeDocument/2006/relationships/hyperlink" Target="https://www.glasslab.com.br/reagentes-e-meios/azul-de-alcian-ci-74240-pa-10g?parceiro=6858&amp;srsltid=Ad5pg_FDyPCRvpry5EhdsEoJ7uxF_y9EB0InlQo7sJUXQRNRJMnoWyZXD4o" TargetMode="External"/><Relationship Id="rId195" Type="http://schemas.openxmlformats.org/officeDocument/2006/relationships/hyperlink" Target="https://www.didaticasp.com.br/produto/azul-de-alcian-25g-cas-33864-99-2.html" TargetMode="External"/><Relationship Id="rId196" Type="http://schemas.openxmlformats.org/officeDocument/2006/relationships/hyperlink" Target="https://sipac.sig.ufal.br/sipac/visualizaMaterial.do?popup=true&amp;id=23373&amp;acao=12" TargetMode="External"/><Relationship Id="rId197" Type="http://schemas.openxmlformats.org/officeDocument/2006/relationships/hyperlink" Target="https://www.acsreagentes.com.br/azul-de-astra-ci-48048-10g-acs-cientifica?utm_source=Site&amp;utm_medium=GoogleMerchant&amp;utm_campaign=GoogleMerchant" TargetMode="External"/><Relationship Id="rId198" Type="http://schemas.openxmlformats.org/officeDocument/2006/relationships/hyperlink" Target="https://www.labimport.com.br/reagentes/azul-de-astra/azul-de-astra-ci-48048-10g" TargetMode="External"/><Relationship Id="rId199" Type="http://schemas.openxmlformats.org/officeDocument/2006/relationships/hyperlink" Target="https://www.lojanetlab.com.br/azul-de-astra-ci-48048-10gr-dinamica" TargetMode="External"/><Relationship Id="rId200" Type="http://schemas.openxmlformats.org/officeDocument/2006/relationships/hyperlink" Target="https://sipac.sig.ufal.br/sipac/visualizaMaterial.do?popup=true&amp;id=18098&amp;acao=12" TargetMode="External"/><Relationship Id="rId201" Type="http://schemas.openxmlformats.org/officeDocument/2006/relationships/hyperlink" Target="https://www.acsreagentes.com.br/azul-de-bromotimol-pa-25g-acs-cientifica?utm_source=Site&amp;utm_medium=GoogleMerchant&amp;utm_campaign=GoogleMerchant&amp;gclid=Cj0KCQiAx6ugBhCcARIsAGNmMbgMjuYws-4lYbF0mRic7awBvmjSwbjYTJBE9MT6uU6k32Y6XVg5fksaAuZ_EALw_wcB" TargetMode="External"/><Relationship Id="rId202" Type="http://schemas.openxmlformats.org/officeDocument/2006/relationships/hyperlink" Target="https://www.glasslab.com.br/reagentes-e-meios/azul-de-bromotimol-pa-25g?parceiro=6858&amp;gclid=Cj0KCQiAx6ugBhCcARIsAGNmMbiqKvKl0bA_j8hB8LchwhBNGrwiitOJ87PVFnI_EP6M0jIKyKdbJZ4aAsbIEALw_wcB" TargetMode="External"/><Relationship Id="rId203" Type="http://schemas.openxmlformats.org/officeDocument/2006/relationships/hyperlink" Target="https://www.lojaprolab.com.br/azul-de-bromotimol-pa-acs-81244" TargetMode="External"/><Relationship Id="rId204" Type="http://schemas.openxmlformats.org/officeDocument/2006/relationships/hyperlink" Target="https://sipac.sig.ufal.br/sipac/visualizaMaterial.do?popup=true&amp;id=25980&amp;acao=12" TargetMode="External"/><Relationship Id="rId205" Type="http://schemas.openxmlformats.org/officeDocument/2006/relationships/hyperlink" Target="https://www.labimport.com.br/reagentes/azul-de-metileno/azul-de-metileno-solucao-1-alcoolica-1-l" TargetMode="External"/><Relationship Id="rId206" Type="http://schemas.openxmlformats.org/officeDocument/2006/relationships/hyperlink" Target="https://www.acsreagentes.com.br/azul-de-metileno-solucao-1-aquosa-1l-acs-cientifica?utm_source=Site&amp;utm_medium=GoogleMerchant&amp;utm_campaign=GoogleMerchant&amp;gclid=Cj0KCQjwk7ugBhDIARIsAGuvgPbFHfB-kwPs2upGuwg1PuTH4gSzJxCphs0Iej3_YlSzcVbaLLVi4X8aAnu9EALw_wcB" TargetMode="External"/><Relationship Id="rId207" Type="http://schemas.openxmlformats.org/officeDocument/2006/relationships/hyperlink" Target="https://www.sabresafety.com.br/produto/solucao-azul-de-metileno-alcoolica-1000ml/" TargetMode="External"/><Relationship Id="rId208" Type="http://schemas.openxmlformats.org/officeDocument/2006/relationships/hyperlink" Target="https://sipac.sig.ufal.br/sipac/visualizaMaterial.do?popup=true&amp;id=10448&amp;acao=12" TargetMode="External"/><Relationship Id="rId209" Type="http://schemas.openxmlformats.org/officeDocument/2006/relationships/hyperlink" Target="https://sipac.sig.ufal.br/sipac/visualizaMaterial.do?popup=true&amp;id=23355&amp;acao=12" TargetMode="External"/><Relationship Id="rId210" Type="http://schemas.openxmlformats.org/officeDocument/2006/relationships/hyperlink" Target="https://www.glasslab.com.br/reagentes-e-meios/bicarbonato-de-sodio-pa-500g?parceiro=6858&amp;gclid=Cj0KCQiAx6ugBhCcARIsAGNmMbjZvXnRdDbePHETwEmytepCSQbm8zOEOB5HoezKp8wH_DtxoJ6dyHsaAtZFEALw_wcB" TargetMode="External"/><Relationship Id="rId211" Type="http://schemas.openxmlformats.org/officeDocument/2006/relationships/hyperlink" Target="https://www.labimport.com.br/reagentes/bicarbonato-de-sodio/bicarbonato-de-sodio-pa-500g-11755" TargetMode="External"/><Relationship Id="rId212" Type="http://schemas.openxmlformats.org/officeDocument/2006/relationships/hyperlink" Target="https://www.acsreagentes.com.br/bicarbonato-de-sodio-pa-500g-acs-cientifica?utm_source=Site&amp;utm_medium=GoogleMerchant&amp;utm_campaign=GoogleMerchant" TargetMode="External"/><Relationship Id="rId213" Type="http://schemas.openxmlformats.org/officeDocument/2006/relationships/hyperlink" Target="https://sipac.sig.ufal.br/sipac/visualizaMaterial.do?popup=true&amp;id=23356&amp;acao=12" TargetMode="External"/><Relationship Id="rId214" Type="http://schemas.openxmlformats.org/officeDocument/2006/relationships/hyperlink" Target="https://www.glasslab.com.br/reagentes-e-meios/biftalato-de-potassio-pa-500g?parceiro=6858&amp;gclid=Cj0KCQiAx6ugBhCcARIsAGNmMbiOAsl0U3S8vbhYkqSSMJ6QEfTqOq1fXiGTx_DAy9x5RWMgTgdjD44aAqifEALw_wcB" TargetMode="External"/><Relationship Id="rId215" Type="http://schemas.openxmlformats.org/officeDocument/2006/relationships/hyperlink" Target="https://www.acsreagentes.com.br/biftalato-de-potassio-pa-500g-acs-cientifica?utm_source=Site&amp;utm_medium=GoogleMerchant&amp;utm_campaign=GoogleMerchant&amp;gclid=Cj0KCQiAx6ugBhCcARIsAGNmMbjIwm1BSkuqwPssQRvLFvz5YH5ucQ-mwplI379ugZCJiGimFQwPEWwaAsHvEALw_wcB" TargetMode="External"/><Relationship Id="rId216" Type="http://schemas.openxmlformats.org/officeDocument/2006/relationships/hyperlink" Target="https://www.laderquimica.com.br/biftalato-potassio-pa-500gr?utm_source=Site&amp;utm_medium=GoogleMerchant&amp;utm_campaign=GoogleMerchant&amp;srsltid=Ad5pg_GXhqJxdwf1afx-NIUIwSyz-R2sjVYf8MUEjMQ698tofSt8cy-3f_E" TargetMode="External"/><Relationship Id="rId217" Type="http://schemas.openxmlformats.org/officeDocument/2006/relationships/hyperlink" Target="https://sipac.sig.ufal.br/sipac/visualizaMaterial.do?popup=true&amp;id=30405&amp;acao=12" TargetMode="External"/><Relationship Id="rId218" Type="http://schemas.openxmlformats.org/officeDocument/2006/relationships/hyperlink" Target="https://sipac.sig.ufal.br/sipac/visualizaMaterial.do?popup=true&amp;id=30415&amp;acao=12" TargetMode="External"/><Relationship Id="rId219" Type="http://schemas.openxmlformats.org/officeDocument/2006/relationships/hyperlink" Target="https://www.acsreagentes.com.br/biotina-99-vitamina-h-25g-acs-cientifica?gclid=CjwKCAjwiOCgBhAgEiwAjv5whAKqrfpQcSxjmmEsrD3bVF_sxB5k5gNjftIPhWM_OjdQXvhxXRspyRoC9gIQAvD_BwE" TargetMode="External"/><Relationship Id="rId220" Type="http://schemas.openxmlformats.org/officeDocument/2006/relationships/hyperlink" Target="https://sipac.sig.ufal.br/sipac/visualizaMaterial.do?popup=true&amp;id=23675&amp;acao=12" TargetMode="External"/><Relationship Id="rId221" Type="http://schemas.openxmlformats.org/officeDocument/2006/relationships/hyperlink" Target="https://www.acsreagentes.com.br/brometo-de-cetiltrimetilamonio-ctab-100g-acs-cientifica?utm_source=Site&amp;utm_medium=GoogleMerchant&amp;utm_campaign=GoogleMerchant" TargetMode="External"/><Relationship Id="rId222" Type="http://schemas.openxmlformats.org/officeDocument/2006/relationships/hyperlink" Target="https://www.labimport.com.br/reagentes/brometo-de-cetiltrimetilamonio/brometo-de-cetiltrimetilamonio-ctab-500g-13987" TargetMode="External"/><Relationship Id="rId223" Type="http://schemas.openxmlformats.org/officeDocument/2006/relationships/hyperlink" Target="https://sipac.sig.ufal.br/sipac/visualizaMaterial.do?popup=true&amp;id=23674&amp;acao=12" TargetMode="External"/><Relationship Id="rId224" Type="http://schemas.openxmlformats.org/officeDocument/2006/relationships/hyperlink" Target="https://www.acsreagentes.com.br/brometo-de-potassio-pa-250g-acs-cientifica?gclid=Cj0KCQiAx6ugBhCcARIsAGNmMbjbHIxdq1eWApvs0yeAPFAmW42ztivmoZdnC2jyBRmVy7sNB74yoKwaAr-UEALw_wcB" TargetMode="External"/><Relationship Id="rId225" Type="http://schemas.openxmlformats.org/officeDocument/2006/relationships/hyperlink" Target="https://www.glasslab.com.br/reagentes-e-meios/brometo-de-potassio-pa-acs-500g?parceiro=6858&amp;srsltid=Ad5pg_EPB8X9NZaEPypJToNC70A1BMBaB9N3697_3zGZv_vpQQdyL3xPq3o" TargetMode="External"/><Relationship Id="rId226" Type="http://schemas.openxmlformats.org/officeDocument/2006/relationships/hyperlink" Target="https://www.lojasynth.com/reagentes-analiticosmaterias-primas/reagentes-analiticosmaterias-primas/brometo-de-potassio-p-a-a-c-s?parceiro=2827&amp;gclid=Cj0KCQiAx6ugBhCcARIsAGNmMbiihneURXjb2l3Qud58zGKhH03g0TCPDGO408y-grqJDTyuk8QvH7saAtvHEALw_wcB&amp;variant_id=301" TargetMode="External"/><Relationship Id="rId227" Type="http://schemas.openxmlformats.org/officeDocument/2006/relationships/hyperlink" Target="https://sipac.sig.ufal.br/sipac/visualizaMaterial.do?popup=true&amp;id=23015&amp;acao=12" TargetMode="External"/><Relationship Id="rId228" Type="http://schemas.openxmlformats.org/officeDocument/2006/relationships/hyperlink" Target="https://www.glasslab.com.br/reagentes-e-meios/agar-infusao-cerebro-e-coracao-bhi-frasco-500g-k25-610007-kasvi?parceiro=6858&amp;gclid=Cj0KCQiAx6ugBhCcARIsAGNmMbjnysT0QZj9B1VqG6ew_tvPz5rIZF_In_YzVfqWNZaqLYxux-i8Z8IaAr1wEALw_wcB" TargetMode="External"/><Relationship Id="rId229" Type="http://schemas.openxmlformats.org/officeDocument/2006/relationships/hyperlink" Target="https://www.lkpdiagnosticos.com.br/meios-de-cultura/k25-610008-caldo-infusao-cerebro-e-coracao-frasco-500g?parceiro=3898" TargetMode="External"/><Relationship Id="rId230" Type="http://schemas.openxmlformats.org/officeDocument/2006/relationships/hyperlink" Target="https://www.vitchlab.com.br/laboratorial/meio-de-cultivo/caldo-infusao-cerebro-coracao-bhib-frasco-500-g?parceiro=7632&amp;srsltid=Ad5pg_HSRwETWWTqGHQnN1NbdwjIDwS3DOs5WcnmmW8rg6VziNC5cLj4L1s" TargetMode="External"/><Relationship Id="rId231" Type="http://schemas.openxmlformats.org/officeDocument/2006/relationships/hyperlink" Target="https://sipac.sig.ufal.br/sipac/visualizaMaterial.do?popup=true&amp;id=28149&amp;acao=12" TargetMode="External"/><Relationship Id="rId232" Type="http://schemas.openxmlformats.org/officeDocument/2006/relationships/hyperlink" Target="https://www.lkpdiagnosticos.com.br/meios-de-cultura/7146-caldo-nutriente-nutrient-broth-500g?parceiro=3898" TargetMode="External"/><Relationship Id="rId233" Type="http://schemas.openxmlformats.org/officeDocument/2006/relationships/hyperlink" Target="https://www.orionprodutoscientificos.com.br/caldo-nutriente-frasco-500g-himedia?utm_source=Site&amp;utm_medium=GoogleMerchant&amp;utm_campaign=GoogleMerchant" TargetMode="External"/><Relationship Id="rId234" Type="http://schemas.openxmlformats.org/officeDocument/2006/relationships/hyperlink" Target="https://www.lojanetlab.com.br/meios-de-cultura/agar/agar-nutriente-frasco-500g-k25-610036-kasvi?parceiro=7105&amp;srsltid=Ad5pg_EsbkflI1MkvBmmJssXIDUcuJrq2K9F_YQn7ETPIcCr7qbo3QNtUGg" TargetMode="External"/><Relationship Id="rId235" Type="http://schemas.openxmlformats.org/officeDocument/2006/relationships/hyperlink" Target="https://sipac.sig.ufal.br/sipac/visualizaMaterial.do?popup=true&amp;id=28150&amp;acao=12" TargetMode="External"/><Relationship Id="rId236" Type="http://schemas.openxmlformats.org/officeDocument/2006/relationships/hyperlink" Target="https://www.orionprodutoscientificos.com.br/meio-tioglicolato-com-indicador-frasco-500g-himedia?utm_source=Site&amp;utm_medium=GoogleMerchant&amp;utm_campaign=GoogleMerchant" TargetMode="External"/><Relationship Id="rId237" Type="http://schemas.openxmlformats.org/officeDocument/2006/relationships/hyperlink" Target="https://www.vitchlab.com.br/meios-e-reagentes/agar-meio-de-cultura/meio-tioglicolato-com-indicador-frasco-500g-m009-500g" TargetMode="External"/><Relationship Id="rId238" Type="http://schemas.openxmlformats.org/officeDocument/2006/relationships/hyperlink" Target="https://sipac.sig.ufal.br/sipac/visualizaMaterial.do?popup=true&amp;id=30406&amp;acao=12" TargetMode="External"/><Relationship Id="rId239" Type="http://schemas.openxmlformats.org/officeDocument/2006/relationships/hyperlink" Target="https://ludwigbiotec.com.br/loja/produto/calmagita-paacs/739" TargetMode="External"/><Relationship Id="rId240" Type="http://schemas.openxmlformats.org/officeDocument/2006/relationships/hyperlink" Target="https://www.didaticasp.com.br/produto/calmagita-pa-acs-25g-cas-3147-14-6.html" TargetMode="External"/><Relationship Id="rId241" Type="http://schemas.openxmlformats.org/officeDocument/2006/relationships/hyperlink" Target="https://www.orionprodutoscientificos.com.br/calmagita-p-a-acs-25-g-fabricante-neon?utm_source=Site&amp;utm_medium=GoogleMerchant&amp;utm_campaign=GoogleMerchant" TargetMode="External"/><Relationship Id="rId242" Type="http://schemas.openxmlformats.org/officeDocument/2006/relationships/hyperlink" Target="https://sipac.sig.ufal.br/sipac/visualizaMaterial.do?popup=true&amp;id=23695&amp;acao=12" TargetMode="External"/><Relationship Id="rId243" Type="http://schemas.openxmlformats.org/officeDocument/2006/relationships/hyperlink" Target="https://www.glasslab.com.br/reagentes-e-meios/carbonato-de-amonio-pa-acs-500g?parceiro=6858&amp;gclid=Cj0KCQiAx6ugBhCcARIsAGNmMbhzwQHJFsI_C9MYhzIQTdQD4I0etqVxWqzLTz97re939JsDwrf5PAoaArWTEALw_wcB" TargetMode="External"/><Relationship Id="rId244" Type="http://schemas.openxmlformats.org/officeDocument/2006/relationships/hyperlink" Target="https://www.orionprodutoscientificos.com.br/carbonato-de-amonio-p-a-500-g-fabricante-neon?utm_source=Site&amp;utm_medium=GoogleMerchant&amp;utm_campaign=GoogleMerchant" TargetMode="External"/><Relationship Id="rId245" Type="http://schemas.openxmlformats.org/officeDocument/2006/relationships/hyperlink" Target="https://www.didaticasp.com.br/produto/carbonato-de-amonio-pa-1kg-cas-10361-29-2.html" TargetMode="External"/><Relationship Id="rId246" Type="http://schemas.openxmlformats.org/officeDocument/2006/relationships/hyperlink" Target="https://sipac.sig.ufal.br/sipac/visualizaMaterial.do?popup=true&amp;id=23699&amp;acao=12" TargetMode="External"/><Relationship Id="rId247" Type="http://schemas.openxmlformats.org/officeDocument/2006/relationships/hyperlink" Target="https://www.acsreagentes.com.br/carbonato-de-bario-pa-250g-acs-cientifica?utm_source=Site&amp;utm_medium=GoogleMerchant&amp;utm_campaign=GoogleMerchant" TargetMode="External"/><Relationship Id="rId248" Type="http://schemas.openxmlformats.org/officeDocument/2006/relationships/hyperlink" Target="https://www.glasslab.com.br/reagentes-e-meios/carbonato-de-bario-pa-250g?parceiro=6858&amp;srsltid=Ad5pg_HDYO2KmmquLBCYMZgPCgXLHPqS94Pl7Bu5s2rNpShcpIyBFXf_c1w" TargetMode="External"/><Relationship Id="rId249" Type="http://schemas.openxmlformats.org/officeDocument/2006/relationships/hyperlink" Target="https://sipac.sig.ufal.br/sipac/visualizaMaterial.do?popup=true&amp;id=23703&amp;acao=12" TargetMode="External"/><Relationship Id="rId250" Type="http://schemas.openxmlformats.org/officeDocument/2006/relationships/hyperlink" Target="https://www.glasslab.com.br/reagentes-e-meios/carbonato-de-calcio-pa-500g?parceiro=6858&amp;gclid=Cj0KCQiAx6ugBhCcARIsAGNmMbj881n9F-vDjirdc-XmLZ-Ocqf16r5kTE3ZYI_y0hq1sUXqv3kDWg0aAnKCEALw_wcB" TargetMode="External"/><Relationship Id="rId251" Type="http://schemas.openxmlformats.org/officeDocument/2006/relationships/hyperlink" Target="https://www.acsreagentes.com.br/carbonato-de-calcio-pa-500g-acs-cientifica?utm_source=Site&amp;utm_medium=GoogleMerchant&amp;utm_campaign=GoogleMerchant&amp;gclid=Cj0KCQiAx6ugBhCcARIsAGNmMbjRsBmKa_DCQT5OXNheKMhWOi3p2zKpxEAVtkhkPWm8A9mIkudeOQcaAqNrEALw_wcB" TargetMode="External"/><Relationship Id="rId252" Type="http://schemas.openxmlformats.org/officeDocument/2006/relationships/hyperlink" Target="https://www.laderquimica.com.br/carbonato-de-calcio-pa-500-g-neon?utm_source=Site&amp;utm_medium=GoogleMerchant&amp;utm_campaign=GoogleMerchant&amp;srsltid=Ad5pg_ExSKFBFv2XiVr9F8VOnQTGMFmo6fDPFQnaMTBATIubBXJy4WtXGhI" TargetMode="External"/><Relationship Id="rId253" Type="http://schemas.openxmlformats.org/officeDocument/2006/relationships/hyperlink" Target="https://sipac.sig.ufal.br/sipac/visualizaMaterial.do?popup=true&amp;id=30771&amp;acao=12" TargetMode="External"/><Relationship Id="rId254" Type="http://schemas.openxmlformats.org/officeDocument/2006/relationships/hyperlink" Target="https://www.acsreagentes.com.br/carbonato-de-estroncio-pa-250g-acs-cientifica?utm_source=Site&amp;utm_medium=GoogleMerchant&amp;utm_campaign=GoogleMerchant" TargetMode="External"/><Relationship Id="rId255" Type="http://schemas.openxmlformats.org/officeDocument/2006/relationships/hyperlink" Target="https://www.glasslab.com.br/reagentes-e-meios/carbonato-de-estroncio-pa-250g?parceiro=6858&amp;srsltid=Ad5pg_HZcWkl5aue_weZe-JmSs2DgN9r-s1DowwKtU6cDIwqE0IJJrme0Ls" TargetMode="External"/><Relationship Id="rId256" Type="http://schemas.openxmlformats.org/officeDocument/2006/relationships/hyperlink" Target="https://www.lojaprolab.com.br/carbonato-de-estroncio-pa-81317" TargetMode="External"/><Relationship Id="rId257" Type="http://schemas.openxmlformats.org/officeDocument/2006/relationships/hyperlink" Target="https://sipac.sig.ufal.br/sipac/visualizaMaterial.do?popup=true&amp;id=23704&amp;acao=12" TargetMode="External"/><Relationship Id="rId258" Type="http://schemas.openxmlformats.org/officeDocument/2006/relationships/hyperlink" Target="https://www.acsreagentes.com.br/carbonato-de-litio-pa-250g-acs-cientifica?gclid=Cj0KCQiAx6ugBhCcARIsAGNmMbiANReA7zi27wEbfkHLFiq275TxZBEPHQXbEoromcSbtbHglNMeaRQaArZIEALw_wcB" TargetMode="External"/><Relationship Id="rId259" Type="http://schemas.openxmlformats.org/officeDocument/2006/relationships/hyperlink" Target="https://www.glasslab.com.br/reagentes-e-meios/carbonato-de-litio-pa-500g?parceiro=6858&amp;srsltid=Ad5pg_FPNJOd01MCkB2wF-J-SV4bXWfLSHZb-JBO-wrYe86-p786iMcXdPY" TargetMode="External"/><Relationship Id="rId260" Type="http://schemas.openxmlformats.org/officeDocument/2006/relationships/hyperlink" Target="https://www.lojaprolab.com.br/carbonato-de-litio-pa-81318" TargetMode="External"/><Relationship Id="rId261" Type="http://schemas.openxmlformats.org/officeDocument/2006/relationships/hyperlink" Target="https://sipac.sig.ufal.br/sipac/visualizaMaterial.do?popup=true&amp;id=23705&amp;acao=12" TargetMode="External"/><Relationship Id="rId262" Type="http://schemas.openxmlformats.org/officeDocument/2006/relationships/hyperlink" Target="https://www.lojasynth.com/reagentes-analiticosmaterias-primas/reagentes-analiticosmaterias-primas/carbonato-de-magnesio-basico-p-a?parceiro=2827&amp;variant_id=1079&amp;gclid=Cj0KCQiAx6ugBhCcARIsAGNmMbhGcwoJuSJbIlXE60GhOQE1ycgtvePHfmmB8wDDXZLUOUlFOwAb8TIaAsw9EALw" TargetMode="External"/><Relationship Id="rId263" Type="http://schemas.openxmlformats.org/officeDocument/2006/relationships/hyperlink" Target="https://sipac.sig.ufal.br/sipac/visualizaMaterial.do?popup=true&amp;id=23500&amp;acao=12" TargetMode="External"/><Relationship Id="rId264" Type="http://schemas.openxmlformats.org/officeDocument/2006/relationships/hyperlink" Target="https://www.didaticasp.com.br/produto/carbonato-de-potassio-anidro-em-po-pa-500g-cas-584-08-7-pfssp-concentracao-98-densidade-100.html" TargetMode="External"/><Relationship Id="rId265" Type="http://schemas.openxmlformats.org/officeDocument/2006/relationships/hyperlink" Target="https://www.glasslab.com.br/reagentes-e-meios/carbonato-de-potassio-anidro-pa-1kg" TargetMode="External"/><Relationship Id="rId266" Type="http://schemas.openxmlformats.org/officeDocument/2006/relationships/hyperlink" Target="https://sipac.sig.ufal.br/sipac/visualizaMaterial.do?popup=true&amp;id=30770&amp;acao=12" TargetMode="External"/><Relationship Id="rId267" Type="http://schemas.openxmlformats.org/officeDocument/2006/relationships/hyperlink" Target="https://www.orionprodutoscientificos.com.br/carbonato-de-sodio-decahidratado-10h2o-pa-250g-exodo-cientifica" TargetMode="External"/><Relationship Id="rId268" Type="http://schemas.openxmlformats.org/officeDocument/2006/relationships/hyperlink" Target="https://sipac.sig.ufal.br/sipac/visualizaMaterial.do?popup=true&amp;id=23488&amp;acao=12" TargetMode="External"/><Relationship Id="rId269" Type="http://schemas.openxmlformats.org/officeDocument/2006/relationships/hyperlink" Target="https://www.laderquimica.com.br/carbonato-de-sodio-anidro-pa-acs-500g-dinamica?utm_source=Site&amp;utm_medium=GoogleMerchant&amp;utm_campaign=GoogleMerchant&amp;srsltid=Ad5pg_HHagIfhBl2TY0bDyAdJbSkFBMk4ahIi9_WoucZ2MxzTW-kwK-gjMM" TargetMode="External"/><Relationship Id="rId270" Type="http://schemas.openxmlformats.org/officeDocument/2006/relationships/hyperlink" Target="https://www.orionprodutoscientificos.com.br/carbonato-de-sodio-anidro-pa-500g-exodo-cientifica?utm_source=Site&amp;utm_medium=GoogleMerchant&amp;utm_campaign=GoogleMerchant" TargetMode="External"/><Relationship Id="rId271" Type="http://schemas.openxmlformats.org/officeDocument/2006/relationships/hyperlink" Target="https://www.glasslab.com.br/reagentes-e-meios/carbonato-de-sodio-anidro-pa-1kg" TargetMode="External"/><Relationship Id="rId272" Type="http://schemas.openxmlformats.org/officeDocument/2006/relationships/hyperlink" Target="https://sipac.sig.ufal.br/sipac/visualizaMaterial.do?popup=true&amp;id=23484&amp;acao=12" TargetMode="External"/><Relationship Id="rId273" Type="http://schemas.openxmlformats.org/officeDocument/2006/relationships/hyperlink" Target="https://www.glasslab.com.br/reagentes-e-meios/carboximetilcelulose-sal-sodico-pa-250g?parceiro=6858&amp;srsltid=Ad5pg_H5yYzTi4_9BIfn052xJd4rAuQ2L5uDP97HqzH45ssjrCEIsZEPngQ" TargetMode="External"/><Relationship Id="rId274" Type="http://schemas.openxmlformats.org/officeDocument/2006/relationships/hyperlink" Target="https://www.acsreagentes.com.br/carboximetilcelulose-sal-sodico-pa-500g-acs-cientifica" TargetMode="External"/><Relationship Id="rId275" Type="http://schemas.openxmlformats.org/officeDocument/2006/relationships/hyperlink" Target="https://www.labimport.com.br/carboximetilcelulose1057/" TargetMode="External"/><Relationship Id="rId276" Type="http://schemas.openxmlformats.org/officeDocument/2006/relationships/hyperlink" Target="https://sipac.sig.ufal.br/sipac/visualizaMaterial.do?popup=true&amp;id=23478&amp;acao=12" TargetMode="External"/><Relationship Id="rId277" Type="http://schemas.openxmlformats.org/officeDocument/2006/relationships/hyperlink" Target="https://www.acsreagentes.com.br/carvao-ativo-em-po-pa-5kg-acs-cientifica" TargetMode="External"/><Relationship Id="rId278" Type="http://schemas.openxmlformats.org/officeDocument/2006/relationships/hyperlink" Target="https://www.glasslab.com.br/reagentes-e-meios/carvao-ativo-em-po-pa-500g?parceiro=6858" TargetMode="External"/><Relationship Id="rId279" Type="http://schemas.openxmlformats.org/officeDocument/2006/relationships/hyperlink" Target="https://www.didaticasp.com.br/carvao-ativo-em-po-pa-500g" TargetMode="External"/><Relationship Id="rId280" Type="http://schemas.openxmlformats.org/officeDocument/2006/relationships/hyperlink" Target="https://sipac.sig.ufal.br/sipac/visualizaMaterial.do?popup=true&amp;id=23474&amp;acao=12" TargetMode="External"/><Relationship Id="rId281" Type="http://schemas.openxmlformats.org/officeDocument/2006/relationships/hyperlink" Target="https://www.didaticasp.com.br/caseina-pa-500g" TargetMode="External"/><Relationship Id="rId282" Type="http://schemas.openxmlformats.org/officeDocument/2006/relationships/hyperlink" Target="https://www.labshow.com.br/loja/Labshow/produto/1469/caseina-pa-dinamica" TargetMode="External"/><Relationship Id="rId283" Type="http://schemas.openxmlformats.org/officeDocument/2006/relationships/hyperlink" Target="https://www.lojanetlab.com.br/reagentes/pa/caseina-pa" TargetMode="External"/><Relationship Id="rId284" Type="http://schemas.openxmlformats.org/officeDocument/2006/relationships/hyperlink" Target="https://sipac.sig.ufal.br/sipac/visualizaMaterial.do?popup=true&amp;id=22744&amp;acao=12" TargetMode="External"/><Relationship Id="rId285" Type="http://schemas.openxmlformats.org/officeDocument/2006/relationships/hyperlink" Target="https://www.acsreagentes.com.br/cloreto-de-aluminio-6h2o-pa-500g-acs-cientifica" TargetMode="External"/><Relationship Id="rId286" Type="http://schemas.openxmlformats.org/officeDocument/2006/relationships/hyperlink" Target="https://www.glasslab.com.br/reagentes-e-meios/cloreto-de-aluminio-6h2o-pa-500g?parceiro=6858" TargetMode="External"/><Relationship Id="rId287" Type="http://schemas.openxmlformats.org/officeDocument/2006/relationships/hyperlink" Target="https://www.laderquimica.com.br/cloreto-de-aluminio-6h2o-pa-500g-dinamica" TargetMode="External"/><Relationship Id="rId288" Type="http://schemas.openxmlformats.org/officeDocument/2006/relationships/hyperlink" Target="https://sipac.sig.ufal.br/sipac/visualizaMaterial.do?popup=true&amp;id=22745&amp;acao=12" TargetMode="External"/><Relationship Id="rId289" Type="http://schemas.openxmlformats.org/officeDocument/2006/relationships/hyperlink" Target="https://www.glasslab.com.br/reagentes-e-meios/cloreto-de-amonio-pa-acs-500g?parceiro=6858" TargetMode="External"/><Relationship Id="rId290" Type="http://schemas.openxmlformats.org/officeDocument/2006/relationships/hyperlink" Target="https://labtrade.com.br/produto/cloreto-de-amonio-pa/" TargetMode="External"/><Relationship Id="rId291" Type="http://schemas.openxmlformats.org/officeDocument/2006/relationships/hyperlink" Target="https://sipac.sig.ufal.br/sipac/visualizaMaterial.do?popup=true&amp;id=22746&amp;acao=12" TargetMode="External"/><Relationship Id="rId292" Type="http://schemas.openxmlformats.org/officeDocument/2006/relationships/hyperlink" Target="https://www.laderquimica.com.br/cloreto-de-bario-pa-acs-500g-dinamica" TargetMode="External"/><Relationship Id="rId293" Type="http://schemas.openxmlformats.org/officeDocument/2006/relationships/hyperlink" Target="https://www.labimport.com.br/reagentes/cloreto-de-bario/cloreto-de-bario-2h2o-pa-acs-500g" TargetMode="External"/><Relationship Id="rId294" Type="http://schemas.openxmlformats.org/officeDocument/2006/relationships/hyperlink" Target="https://www.lojaprolab.com.br/cloreto-de-bario-2h2o-pa-acs-81432" TargetMode="External"/><Relationship Id="rId295" Type="http://schemas.openxmlformats.org/officeDocument/2006/relationships/hyperlink" Target="https://sipac.sig.ufal.br/sipac/visualizaMaterial.do?popup=true&amp;id=22747&amp;acao=12" TargetMode="External"/><Relationship Id="rId296" Type="http://schemas.openxmlformats.org/officeDocument/2006/relationships/hyperlink" Target="https://www.didaticasp.com.br/produto/cloreto-de-benzoila-1l-cas-98-88-4-ssp.html" TargetMode="External"/><Relationship Id="rId297" Type="http://schemas.openxmlformats.org/officeDocument/2006/relationships/hyperlink" Target="https://www.acsreagentes.com.br/cloreto-de-benzoila-ps-1l-acs-cientifica" TargetMode="External"/><Relationship Id="rId298" Type="http://schemas.openxmlformats.org/officeDocument/2006/relationships/hyperlink" Target="https://sipac.sig.ufal.br/sipac/visualizaMaterial.do?popup=true&amp;id=22748&amp;acao=12" TargetMode="External"/><Relationship Id="rId299" Type="http://schemas.openxmlformats.org/officeDocument/2006/relationships/hyperlink" Target="https://www.acsreagentes.com.br/cloreto-de-calcio-2h2o-pa-1kg-acs-cientifica?utm_source=Site&amp;utm_medium=GoogleMerchant&amp;utm_campaign=GoogleMerchant" TargetMode="External"/><Relationship Id="rId300" Type="http://schemas.openxmlformats.org/officeDocument/2006/relationships/hyperlink" Target="https://www.glasslab.com.br/reagentes-e-meios/cloreto-de-calcio-2h2o-pa-1kg?parceiro=6858&amp;srsltid=Ad5pg_FsQ-fAcR1TQQXHUGocX_zvAyj9bv2nqpVkYAnPvxrsduHQqTYAnx8" TargetMode="External"/><Relationship Id="rId301" Type="http://schemas.openxmlformats.org/officeDocument/2006/relationships/hyperlink" Target="https://www.laderquimica.com.br/cloreto-de-calcio-dihidratado-pa-1kg-dinamica?utm_source=Site&amp;utm_medium=GoogleMerchant&amp;utm_campaign=GoogleMerchant&amp;srsltid=Ad5pg_H4buK4qE9tEDI_cNL9zvZv-C_m5FDOAfp6d29gUZDBk0BQ4VMRVEM" TargetMode="External"/><Relationship Id="rId302" Type="http://schemas.openxmlformats.org/officeDocument/2006/relationships/hyperlink" Target="https://sipac.sig.ufal.br/sipac/visualizaMaterial.do?popup=true&amp;id=30769&amp;acao=12" TargetMode="External"/><Relationship Id="rId303" Type="http://schemas.openxmlformats.org/officeDocument/2006/relationships/hyperlink" Target="https://www.acsreagentes.com.br/cloreto-de-chumbo-ii-pa-250g-acs-cientifica?utm_source=Site&amp;utm_medium=GoogleMerchant&amp;utm_campaign=GoogleMerchant" TargetMode="External"/><Relationship Id="rId304" Type="http://schemas.openxmlformats.org/officeDocument/2006/relationships/hyperlink" Target="https://www.laderquimica.com.br/cloreto-de-chumbo-ii-pa-500g-vetec?utm_source=Site&amp;utm_medium=GoogleMerchant&amp;utm_campaign=GoogleMerchant&amp;srsltid=Ad5pg_FGRuEyIu2kCjP6MInFVagmkKy_ayj83uEzvSqpAiiAqzcx2okw4fk" TargetMode="External"/><Relationship Id="rId305" Type="http://schemas.openxmlformats.org/officeDocument/2006/relationships/hyperlink" Target="https://www.didaticasp.com.br/produto/cloreto-de-chumbo-ii-pa-500g-cas-7758-95-4.html" TargetMode="External"/><Relationship Id="rId306" Type="http://schemas.openxmlformats.org/officeDocument/2006/relationships/hyperlink" Target="https://sipac.sig.ufal.br/sipac/visualizaMaterial.do?popup=true&amp;id=22757&amp;acao=12" TargetMode="External"/><Relationship Id="rId307" Type="http://schemas.openxmlformats.org/officeDocument/2006/relationships/hyperlink" Target="https://www.glasslab.com.br/reagentes-e-meios/cloreto-de-cobalto-ii-oso-6h2o-pa-acs-100g?parceiro=6858&amp;gclid=Cj0KCQjwk7ugBhDIARIsAGuvgPYazDFPvgbku3ftWhvKiUpbfZyLy0qhSAgdvG28D5DzdZy0vm4ressaAuQhEALw_wcB" TargetMode="External"/><Relationship Id="rId308" Type="http://schemas.openxmlformats.org/officeDocument/2006/relationships/hyperlink" Target="https://www.acsreagentes.com.br/cloreto-de-cobalto-ii-oso-6-h2o-pa-acs-100g-acs-cientifica?utm_source=Site&amp;utm_medium=GoogleMerchant&amp;utm_campaign=GoogleMerchant&amp;gclid=Cj0KCQjwk7ugBhDIARIsAGuvgPaP4JRWm8DGSKyRjPXMfSzaQjN5cJivvRMhLqF-eovyBoXJBxrxcWIaAv9kEALw" TargetMode="External"/><Relationship Id="rId309" Type="http://schemas.openxmlformats.org/officeDocument/2006/relationships/hyperlink" Target="https://www.laderquimica.com.br/cloreto-de-cobalto-ii-hexahidratado-pa-100g-neon?utm_source=Site&amp;utm_medium=GoogleMerchant&amp;utm_campaign=GoogleMerchant&amp;srsltid=Ad5pg_H04jKrPZh9KK0VVvrOqr_oIqh7fsYIaK_766u3ISfiAI6ePZjfVtA" TargetMode="External"/><Relationship Id="rId310" Type="http://schemas.openxmlformats.org/officeDocument/2006/relationships/hyperlink" Target="https://sipac.sig.ufal.br/sipac/visualizaMaterial.do?popup=true&amp;id=22760&amp;acao=12" TargetMode="External"/><Relationship Id="rId311" Type="http://schemas.openxmlformats.org/officeDocument/2006/relationships/hyperlink" Target="https://www.acsreagentes.com.br/cloreto-de-estanho-ii-anidro-pa-100g-acs-cientifica?utm_source=Site&amp;utm_medium=GoogleMerchant&amp;utm_campaign=GoogleMerchant" TargetMode="External"/><Relationship Id="rId312" Type="http://schemas.openxmlformats.org/officeDocument/2006/relationships/hyperlink" Target="https://sipac.sig.ufal.br/sipac/visualizaMaterial.do?popup=true&amp;id=30416&amp;acao=12" TargetMode="External"/><Relationship Id="rId313" Type="http://schemas.openxmlformats.org/officeDocument/2006/relationships/hyperlink" Target="https://www.glasslab.com.br/reagentes-e-meios/cloreto-de-ferro-iii-ico-6h2o-pa-acs-250g?parceiro=6858&amp;srsltid=Ad5pg_ENSnWLKLB4Q_JsBKa3Yw_dX8mYsP6DLNFmQC3PGz3167PlAhx17pU" TargetMode="External"/><Relationship Id="rId314" Type="http://schemas.openxmlformats.org/officeDocument/2006/relationships/hyperlink" Target="https://www.glasslab.com.br/reagentes-e-meios/cloreto-de-ferro-iii-ico-6h2o-pa-acs-250g?parceiro=6858&amp;gclid=Cj0KCQjwk7ugBhDIARIsAGuvgPYTiII8hr5sEGlaQjBEe50c1Q-Wd43mDZg-UhV3QDN5k4VFZtwWoJoaAmOrEALw_wcB" TargetMode="External"/><Relationship Id="rId315" Type="http://schemas.openxmlformats.org/officeDocument/2006/relationships/hyperlink" Target="https://www.google.com/search?q=Cloreto+de+Ferro+III+ICO+%286H2O%29&amp;client=firefox-b-lm&amp;sa=X&amp;biw=1440&amp;bih=747&amp;tbm=shop&amp;sxsrf=AJOqlzUD4pH0O4V6wkJR1HebWPISSegtOQ%3A1678710104877&amp;ei=WBUPZMXmNMXN1sQP35-zmA8&amp;ved=0ahUKEwjF8uy78tj9AhXFppUCHd_PDPMQ4dUDCAc&amp;uact=5&amp;" TargetMode="External"/><Relationship Id="rId316" Type="http://schemas.openxmlformats.org/officeDocument/2006/relationships/hyperlink" Target="https://sipac.sig.ufal.br/sipac/visualizaMaterial.do?popup=true&amp;id=22765&amp;acao=12" TargetMode="External"/><Relationship Id="rId317" Type="http://schemas.openxmlformats.org/officeDocument/2006/relationships/hyperlink" Target="https://www.acsreagentes.com.br/cloreto-de-ferro-iii-ico-anidro-pa-500g-acs-cientifica?utm_source=Site&amp;utm_medium=GoogleMerchant&amp;utm_campaign=GoogleMerchant" TargetMode="External"/><Relationship Id="rId318" Type="http://schemas.openxmlformats.org/officeDocument/2006/relationships/hyperlink" Target="https://www.glasslab.com.br/reagentes-e-meios/cloreto-de-ferro-iii-ico-anidro-pa-500g?parceiro=6858&amp;srsltid=Ad5pg_H5iaemON2PMSXroAXyeSNJeiirsn2nAtG6NuSTISr7QGoy9t8jP6c" TargetMode="External"/><Relationship Id="rId319" Type="http://schemas.openxmlformats.org/officeDocument/2006/relationships/hyperlink" Target="https://sipac.sig.ufal.br/sipac/visualizaMaterial.do?popup=true&amp;id=25860&amp;acao=12" TargetMode="External"/><Relationship Id="rId320" Type="http://schemas.openxmlformats.org/officeDocument/2006/relationships/hyperlink" Target="https://sipac.sig.ufal.br/sipac/visualizaMaterial.do?popup=true&amp;id=22768&amp;acao=12" TargetMode="External"/><Relationship Id="rId321" Type="http://schemas.openxmlformats.org/officeDocument/2006/relationships/hyperlink" Target="https://www.glasslab.com.br/reagentes-e-meios/cloreto-de-magnesio-6h2o-pa-acs-500g?parceiro=6858&amp;gclid=Cj0KCQjwk7ugBhDIARIsAGuvgPb2u6em8jdBjbUKqC5enRxs7tRLE5ZfBqmSNlF6-7g4tWIjgYOGQjsaAhOzEALw_wcB" TargetMode="External"/><Relationship Id="rId322" Type="http://schemas.openxmlformats.org/officeDocument/2006/relationships/hyperlink" Target="https://www.orionprodutoscientificos.com.br/produto/cloreto-de-magnesio-6h2o-pa-acs-500g-exodo-cientifica.html?utm_source=Site&amp;utm_medium=GoogleMerchant&amp;utm_campaign=GoogleMerchant" TargetMode="External"/><Relationship Id="rId323" Type="http://schemas.openxmlformats.org/officeDocument/2006/relationships/hyperlink" Target="https://www.mmcomercio.net.br/produto/cloreto-de-magnesio-6h2o-pa-acs-1kg-exodo.html?utm_source=Site&amp;utm_medium=GoogleMerchant&amp;utm_campaign=GoogleMerchant&amp;srsltid=Ad5pg_G1BeErNrGJAskjxjsZ12lFlpkI0VZdFOR76PrvEFtB3mpEQLGUVXA" TargetMode="External"/><Relationship Id="rId324" Type="http://schemas.openxmlformats.org/officeDocument/2006/relationships/hyperlink" Target="https://sipac.sig.ufal.br/sipac/visualizaMaterial.do?popup=true&amp;id=24778&amp;acao=12" TargetMode="External"/><Relationship Id="rId325" Type="http://schemas.openxmlformats.org/officeDocument/2006/relationships/hyperlink" Target="https://www.lojaprolab.com.br/cloreto-de-manganes-ii-oso-4h2o-pa-acs-81452" TargetMode="External"/><Relationship Id="rId326" Type="http://schemas.openxmlformats.org/officeDocument/2006/relationships/hyperlink" Target="https://www.orionprodutoscientificos.com.br/cloreto-de-manganes-oso-4h2o-pa-acs-500g-exodo-cientifica?utm_source=Site&amp;utm_medium=GoogleMerchant&amp;utm_campaign=GoogleMerchant" TargetMode="External"/><Relationship Id="rId327" Type="http://schemas.openxmlformats.org/officeDocument/2006/relationships/hyperlink" Target="https://www.didaticasp.com.br/cloreto-de-manganes-ii-oso-4h2o-pa-500g" TargetMode="External"/><Relationship Id="rId328" Type="http://schemas.openxmlformats.org/officeDocument/2006/relationships/hyperlink" Target="https://sipac.sig.ufal.br/sipac/visualizaMaterial.do?popup=true&amp;id=22775&amp;acao=12" TargetMode="External"/><Relationship Id="rId329" Type="http://schemas.openxmlformats.org/officeDocument/2006/relationships/hyperlink" Target="https://www.orionprodutoscientificos.com.br/cloreto-de-potassio-pa-500g-exodo-cientifica?utm_source=Site&amp;utm_medium=GoogleMerchant&amp;utm_campaign=GoogleMerchant" TargetMode="External"/><Relationship Id="rId330" Type="http://schemas.openxmlformats.org/officeDocument/2006/relationships/hyperlink" Target="https://www.cromoslab.com.br/linha-labscience/reagentes-quimicos-e-meios-de-cultura/cloreto-de-potassio-pa-acs-1000gr-acs-cientifica?parceiro=3365&amp;gclid=Cj0KCQjwk7ugBhDIARIsAGuvgPb2747PBJyu34EhI080AbqcVxt3B4zaID30jKQwLVzMnXONd20683caAijKEALw_wcB" TargetMode="External"/><Relationship Id="rId331" Type="http://schemas.openxmlformats.org/officeDocument/2006/relationships/hyperlink" Target="https://www.lojasynth.com/reagentes-analiticosmaterias-primas/reagentes-analiticosmaterias-primas/cloreto-de-potassio-p-a" TargetMode="External"/><Relationship Id="rId332" Type="http://schemas.openxmlformats.org/officeDocument/2006/relationships/hyperlink" Target="https://sipac.sig.ufal.br/sipac/visualizaMaterial.do?popup=true&amp;id=13067&amp;acao=12" TargetMode="External"/><Relationship Id="rId333" Type="http://schemas.openxmlformats.org/officeDocument/2006/relationships/hyperlink" Target="https://www.acsreagentes.com.br/cloreto-de-prata-pa-25g-acs-cientifica?gclid=Cj0KCQjwk7ugBhDIARIsAGuvgPZcv1GvhRcvOBhUwcaC4sLVOL3jI6Wo96vSUPeUo4L4ZjzWDBxq8X0aAla9EALw_wcB" TargetMode="External"/><Relationship Id="rId334" Type="http://schemas.openxmlformats.org/officeDocument/2006/relationships/hyperlink" Target="https://www.lojasynth.com/reagentes-analiticosmaterias-primas/reagentes-analiticosmaterias-primas/cloreto-de-prata-p-a?parceiro=2827&amp;variant_id=301285&amp;gclid=Cj0KCQjwk7ugBhDIARIsAGuvgPZLeoy9-CWGmk8lB5-iv6goEUYMt2XRmLPplF5-0THtSHptTDEu2k8aAmbSEALw_wcB" TargetMode="External"/><Relationship Id="rId335" Type="http://schemas.openxmlformats.org/officeDocument/2006/relationships/hyperlink" Target="https://www.didaticasp.com.br/cloreto-de-prata-pa-100g" TargetMode="External"/><Relationship Id="rId336" Type="http://schemas.openxmlformats.org/officeDocument/2006/relationships/hyperlink" Target="https://sipac.sig.ufal.br/sipac/visualizaMaterial.do?popup=true&amp;id=22780&amp;acao=12" TargetMode="External"/><Relationship Id="rId337" Type="http://schemas.openxmlformats.org/officeDocument/2006/relationships/hyperlink" Target="https://www.glasslab.com.br/reagentes-e-meios/cloreto-de-sodio-cristal-pa-acs-1kg?parceiro=6858&amp;gclid=Cj0KCQjwk7ugBhDIARIsAGuvgPat0T7verY5MmbQC8IQU2XsUI9TcVoxoj82hzJ7JR3mrkG0p7hHZNMaAhBmEALw_wcB" TargetMode="External"/><Relationship Id="rId338" Type="http://schemas.openxmlformats.org/officeDocument/2006/relationships/hyperlink" Target="https://www.laderquimica.com.br/cloreto-de-sodio-pa-1-kg-dinamica?utm_source=Site&amp;utm_medium=GoogleMerchant&amp;utm_campaign=GoogleMerchant&amp;srsltid=Ad5pg_HIRTif9lj1kbty8la75SctvS1D_w3E1DF6dSeScuc_Cb_8i-c5GBk" TargetMode="External"/><Relationship Id="rId339" Type="http://schemas.openxmlformats.org/officeDocument/2006/relationships/hyperlink" Target="https://www.mmcomercio.net.br/produto/cloreto-de-sodio-99-pa-acs-1kg-exodo.html?utm_source=Site&amp;utm_medium=GoogleMerchant&amp;utm_campaign=GoogleMerchant&amp;srsltid=Ad5pg_Hihn5PhF2HbtrquT19_0--MWh_SHDWbB2cdJzKcX0BXnTba1sQ0oM" TargetMode="External"/><Relationship Id="rId340" Type="http://schemas.openxmlformats.org/officeDocument/2006/relationships/hyperlink" Target="https://sipac.sig.ufal.br/sipac/visualizaMaterial.do?popup=true&amp;id=22784&amp;acao=12" TargetMode="External"/><Relationship Id="rId341" Type="http://schemas.openxmlformats.org/officeDocument/2006/relationships/hyperlink" Target="https://www.glasslab.com.br/reagentes-e-meios/cloreto-de-zinco-anidro-pa-acs-500g?parceiro=6858&amp;gclid=Cj0KCQjwk7ugBhDIARIsAGuvgPYgu8rBXA1g6emavfrWceBOeL5GhSnz0WRO9ceiWCEuxVkchJnjhqEaAnvpEALw_wcB" TargetMode="External"/><Relationship Id="rId342" Type="http://schemas.openxmlformats.org/officeDocument/2006/relationships/hyperlink" Target="https://www.quimicenter.com.br/reagentes/acido-citrico-1h2o-pa-acs-1000g-exodo?parceiro=2837&amp;gclid=Cj0KCQjwk7ugBhDIARIsAGuvgPZNSk2svxRxlAG5wEnQlTZt_pz3L6sx5WAW1MsFul-vTF14EcLI_H0aAs6kEALw_wcB" TargetMode="External"/><Relationship Id="rId343" Type="http://schemas.openxmlformats.org/officeDocument/2006/relationships/hyperlink" Target="https://www.labimport.com.br/reagentes/cloreto-de-zinco/cloreto-de-zinco-anidro-pa-acs-500g" TargetMode="External"/><Relationship Id="rId344" Type="http://schemas.openxmlformats.org/officeDocument/2006/relationships/hyperlink" Target="https://sipac.sig.ufal.br/sipac/visualizaMaterial.do?popup=true&amp;id=30773&amp;acao=12" TargetMode="External"/><Relationship Id="rId345" Type="http://schemas.openxmlformats.org/officeDocument/2006/relationships/hyperlink" Target="https://www.acsreagentes.com.br/cloridrato-de-tiamina-98-vitamina-b1-pa-100g-acs-cientifica?utm_source=Site&amp;utm_medium=GoogleMerchant&amp;utm_campaign=GoogleMerchant" TargetMode="External"/><Relationship Id="rId346" Type="http://schemas.openxmlformats.org/officeDocument/2006/relationships/hyperlink" Target="https://www.labimport.com.br/reagentes/cloridrato-de-tiamina/cloridrato-de-tiamina-98-vitamina-b1-pa-25g-11883" TargetMode="External"/><Relationship Id="rId347" Type="http://schemas.openxmlformats.org/officeDocument/2006/relationships/hyperlink" Target="https://sipac.sig.ufal.br/sipac/visualizaMaterial.do?popup=true&amp;id=30779&amp;acao=12" TargetMode="External"/><Relationship Id="rId348" Type="http://schemas.openxmlformats.org/officeDocument/2006/relationships/hyperlink" Target="https://www.didaticasp.com.br/produto/cloroformio-d-1-deuterado-estabilizado-com-ag-100ml.html" TargetMode="External"/><Relationship Id="rId349" Type="http://schemas.openxmlformats.org/officeDocument/2006/relationships/hyperlink" Target="https://sipac.sig.ufal.br/sipac/visualizaMaterial.do?popup=true&amp;id=22786&amp;acao=12" TargetMode="External"/><Relationship Id="rId350" Type="http://schemas.openxmlformats.org/officeDocument/2006/relationships/hyperlink" Target="https://www.glasslab.com.br/reagentes-e-meios/cloroformio-pa-acs-1l" TargetMode="External"/><Relationship Id="rId351" Type="http://schemas.openxmlformats.org/officeDocument/2006/relationships/hyperlink" Target="https://sipac.sig.ufal.br/sipac/visualizaMaterial.do?popup=true&amp;id=25144&amp;acao=12" TargetMode="External"/><Relationship Id="rId352" Type="http://schemas.openxmlformats.org/officeDocument/2006/relationships/hyperlink" Target="https://www.didaticasp.com.br/produto/cobre-metalico-em-po-pa-100g-cas-7440-50-8.html" TargetMode="External"/><Relationship Id="rId353" Type="http://schemas.openxmlformats.org/officeDocument/2006/relationships/hyperlink" Target="https://ludwigbiotec.com.br/loja/produto/cobre-metalico-em-po-p-a-100-g/1854" TargetMode="External"/><Relationship Id="rId354" Type="http://schemas.openxmlformats.org/officeDocument/2006/relationships/hyperlink" Target="https://sipac.sig.ufal.br/sipac/visualizaMaterial.do?popup=true&amp;id=22796&amp;acao=12" TargetMode="External"/><Relationship Id="rId355" Type="http://schemas.openxmlformats.org/officeDocument/2006/relationships/hyperlink" Target="https://www.h4prospera.com.br/conjunto-coloracao-panotico-rapido-laborclin-?utm_source=google&amp;utm_medium=Shopping&amp;utm_campaign=conjunto-coloracao-panotico-rapido-laborclin-&amp;inStock" TargetMode="External"/><Relationship Id="rId356" Type="http://schemas.openxmlformats.org/officeDocument/2006/relationships/hyperlink" Target="https://www.mmcomercio.net.br/produto/coloracao-panotico-rapido-conjunto-3x500ml-laborclin.html?utm_source=Site&amp;utm_medium=GoogleMerchant&amp;utm_campaign=GoogleMerchant&amp;srsltid=Ad5pg_FoGXbEmYIMoseC-c8w24pk0MButHCIfg-xu7FmZwEyMO2Wgb-74-c" TargetMode="External"/><Relationship Id="rId357" Type="http://schemas.openxmlformats.org/officeDocument/2006/relationships/hyperlink" Target="https://www.dsyslab.com.br/reagentes/corantes/coloracao-panotico-rapido-kit-com-3-frascos-de-500-ml-cada-laborclin?parceiro=7063&amp;srsltid=Ad5pg_Fi0XLrRZb0XaYSFwIXE-jUZpo0TCpEHk5tF9smzk_H1fIDEFTxuOY" TargetMode="External"/><Relationship Id="rId358" Type="http://schemas.openxmlformats.org/officeDocument/2006/relationships/hyperlink" Target="https://sipac.sig.ufal.br/sipac/visualizaMaterial.do?popup=true&amp;id=22800&amp;acao=12" TargetMode="External"/><Relationship Id="rId359" Type="http://schemas.openxmlformats.org/officeDocument/2006/relationships/hyperlink" Target="https://www.labimport.com.br/reagentes/kit-de-coloracao-de-gram/kit-de-coloracao-de-gram-04x500ml" TargetMode="External"/><Relationship Id="rId360" Type="http://schemas.openxmlformats.org/officeDocument/2006/relationships/hyperlink" Target="https://www.h4prospera.com.br/conjunto-para-coloracao-de-gram-?utm_source=google&amp;utm_medium=Shopping&amp;utm_campaign=conjunto-para-coloracao-de-gram-&amp;inStock" TargetMode="External"/><Relationship Id="rId361" Type="http://schemas.openxmlformats.org/officeDocument/2006/relationships/hyperlink" Target="https://www.dsyslab.com.br/reagentes/conjunto-para-coloracao-de-gram-caixa-com-4-frascos-pa185-newprov?parceiro=7063&amp;srsltid=Ad5pg_GaRNvelLvoKXDszpGnEfpuLrq6jde4WhsjJbkyHKNOsQSp_Xbkzkc" TargetMode="External"/><Relationship Id="rId362" Type="http://schemas.openxmlformats.org/officeDocument/2006/relationships/hyperlink" Target="https://sipac.sig.ufal.br/sipac/visualizaMaterial.do?popup=true&amp;id=28212&amp;acao=12" TargetMode="External"/><Relationship Id="rId363" Type="http://schemas.openxmlformats.org/officeDocument/2006/relationships/hyperlink" Target="https://sipac.sig.ufal.br/sipac/visualizaMaterial.do?popup=true&amp;id=23411&amp;acao=12" TargetMode="External"/><Relationship Id="rId364" Type="http://schemas.openxmlformats.org/officeDocument/2006/relationships/hyperlink" Target="https://www.biomedh.com.br/007233/cromato-de-potassio-pa-500gr.html" TargetMode="External"/><Relationship Id="rId365" Type="http://schemas.openxmlformats.org/officeDocument/2006/relationships/hyperlink" Target="https://www.didaticasp.com.br/produto/cromato-de-potassio-pa-250g-cas-7789-00-6-ssp.html" TargetMode="External"/><Relationship Id="rId366" Type="http://schemas.openxmlformats.org/officeDocument/2006/relationships/hyperlink" Target="https://aclmaringa.com.br/produto/cromato-de-potassio-pa/" TargetMode="External"/><Relationship Id="rId367" Type="http://schemas.openxmlformats.org/officeDocument/2006/relationships/hyperlink" Target="https://sipac.sig.ufal.br/sipac/visualizaMaterial.do?popup=true&amp;id=23414&amp;acao=12" TargetMode="External"/><Relationship Id="rId368" Type="http://schemas.openxmlformats.org/officeDocument/2006/relationships/hyperlink" Target="https://www.didaticasp.com.br/diclorometano-uvhplc-espectroscopico-1l-pfssp" TargetMode="External"/><Relationship Id="rId369" Type="http://schemas.openxmlformats.org/officeDocument/2006/relationships/hyperlink" Target="https://www.glasslab.com.br/reagentes-e-meios/diclorometano-hplc-1l" TargetMode="External"/><Relationship Id="rId370" Type="http://schemas.openxmlformats.org/officeDocument/2006/relationships/hyperlink" Target="https://sipac.sig.ufal.br/sipac/visualizaMaterial.do?popup=true&amp;id=23413&amp;acao=12" TargetMode="External"/><Relationship Id="rId371" Type="http://schemas.openxmlformats.org/officeDocument/2006/relationships/hyperlink" Target="https://www.glasslab.com.br/reagentes-e-meios/diclorometano-pa-acs-99-5-1l" TargetMode="External"/><Relationship Id="rId372" Type="http://schemas.openxmlformats.org/officeDocument/2006/relationships/hyperlink" Target="https://www.didaticasp.com.br/produto/diclorometano-pa-1l-cas-75-09-2-pfssp-concentracao-100-densidade-133.html" TargetMode="External"/><Relationship Id="rId373" Type="http://schemas.openxmlformats.org/officeDocument/2006/relationships/hyperlink" Target="https://sipac.sig.ufal.br/sipac/visualizaMaterial.do?popup=true&amp;id=23415&amp;acao=12" TargetMode="External"/><Relationship Id="rId374" Type="http://schemas.openxmlformats.org/officeDocument/2006/relationships/hyperlink" Target="https://www.lojanetlab.com.br/reagentes/pa/dicromato-de-amonio-pa-bicromato" TargetMode="External"/><Relationship Id="rId375" Type="http://schemas.openxmlformats.org/officeDocument/2006/relationships/hyperlink" Target="https://ludwigbiotec.com.br/loja/produto/dicromato-de-amonio-p-a-500-g/1860" TargetMode="External"/><Relationship Id="rId376" Type="http://schemas.openxmlformats.org/officeDocument/2006/relationships/hyperlink" Target="https://www.acsreagentes.com.br/dicromato-de-amonio-bicromato-pa-500g-acs-cientifica?utm_source=Site&amp;utm_medium=GoogleMerchant&amp;utm_campaign=GoogleMerchant&amp;gclid=Cj0KCQjwk7ugBhDIARIsAGuvgPZGyJpJxgxGHGC1d3ouRmZxtaiR5Yv-WjXNqYH2jAx-Ulcd_iqaiskaAkXrEALw_wcB" TargetMode="External"/><Relationship Id="rId377" Type="http://schemas.openxmlformats.org/officeDocument/2006/relationships/hyperlink" Target="https://sipac.sig.ufal.br/sipac/visualizaMaterial.do?popup=true&amp;id=23424&amp;acao=12" TargetMode="External"/><Relationship Id="rId378" Type="http://schemas.openxmlformats.org/officeDocument/2006/relationships/hyperlink" Target="https://www.glasslab.com.br/reagentes-e-meios/dicromato-de-potassio-pa-500g" TargetMode="External"/><Relationship Id="rId379" Type="http://schemas.openxmlformats.org/officeDocument/2006/relationships/hyperlink" Target="https://www.didaticasp.com.br/produto/dicromato-de-potassio-pa-500g-cas-7778-50-9-pfssp-concentracao-99-densidade-100.html" TargetMode="External"/><Relationship Id="rId380" Type="http://schemas.openxmlformats.org/officeDocument/2006/relationships/hyperlink" Target="https://sipac.sig.ufal.br/sipac/visualizaMaterial.do?popup=true&amp;id=30775&amp;acao=12" TargetMode="External"/><Relationship Id="rId381" Type="http://schemas.openxmlformats.org/officeDocument/2006/relationships/hyperlink" Target="https://www.acsreagentes.com.br/edta-de-magnesio-sal-dissodico-pa-xh2o-25g-acs-cientifica?utm_source=Site&amp;utm_medium=GoogleMerchant&amp;utm_campaign=GoogleMerchant&amp;gclid=Cj0KCQjwk7ugBhDIARIsAGuvgPaXo0b1-UFbzmDzhifMCiUx3JsaPzZlNA5Ali8UVw8ypatDYLKagakaAtQWEALw_" TargetMode="External"/><Relationship Id="rId382" Type="http://schemas.openxmlformats.org/officeDocument/2006/relationships/hyperlink" Target="https://sipac.sig.ufal.br/sipac/visualizaMaterial.do?popup=true&amp;id=22688&amp;acao=12" TargetMode="External"/><Relationship Id="rId383" Type="http://schemas.openxmlformats.org/officeDocument/2006/relationships/hyperlink" Target="https://www.acsreagentes.com.br/edta-sal-dissodico-2h2o-pa-acs-500g-acs-cientifica?utm_source=Site&amp;utm_medium=GoogleMerchant&amp;utm_campaign=GoogleMerchant&amp;gclid=Cj0KCQjwk7ugBhDIARIsAGuvgPYCnK9YBkJAKdTtwxfcNUS6FAw3nKfxWXSUut_jo60YGTVHf7IjFbQaAgOCEALw_wcB" TargetMode="External"/><Relationship Id="rId384" Type="http://schemas.openxmlformats.org/officeDocument/2006/relationships/hyperlink" Target="https://www.glasslab.com.br/reagentes-e-meios/edta-sal-dissodico-2h2o-pa-acs-500g?parceiro=6858&amp;gclid=Cj0KCQjwk7ugBhDIARIsAGuvgPaZXqIMg8tOeFV9I2A_Yoaamk2wS-fQNjOzmMBA83Msg0RVg6395q8aAiD1EALw_wcB" TargetMode="External"/><Relationship Id="rId385" Type="http://schemas.openxmlformats.org/officeDocument/2006/relationships/hyperlink" Target="https://www.laderquimica.com.br/edta-sal-dissodico-2h2o-pa-500g-dinamica?utm_source=Site&amp;utm_medium=GoogleMerchant&amp;utm_campaign=GoogleMerchant&amp;srsltid=Ad5pg_HHLR96iCEzMfcZqFHkuUR1D5ynulVP-KJzJ0_gZXuEdcrbDIqQ1iE" TargetMode="External"/><Relationship Id="rId386" Type="http://schemas.openxmlformats.org/officeDocument/2006/relationships/hyperlink" Target="https://sipac.sig.ufal.br/sipac/visualizaMaterial.do?popup=true&amp;id=23433&amp;acao=12" TargetMode="External"/><Relationship Id="rId387" Type="http://schemas.openxmlformats.org/officeDocument/2006/relationships/hyperlink" Target="https://www.acsreagentes.com.br/enxofre-puro-500g-acs-cientifica?utm_source=Site&amp;utm_medium=GoogleMerchant&amp;utm_campaign=GoogleMerchant&amp;gclid=Cj0KCQjwk7ugBhDIARIsAGuvgPb6hzB10KoeMrYGdqXGGFSPztT7gB9ZHZ-DGF7-u-tapZIOXW-Bl3QaAiUJEALw_wcB" TargetMode="External"/><Relationship Id="rId388" Type="http://schemas.openxmlformats.org/officeDocument/2006/relationships/hyperlink" Target="https://www.labimport.com.br/reagentes/enxofre/enxofre-em-po-puro-500g-11919" TargetMode="External"/><Relationship Id="rId389" Type="http://schemas.openxmlformats.org/officeDocument/2006/relationships/hyperlink" Target="https://www.didaticasp.com.br/enxofre-puro-500g" TargetMode="External"/><Relationship Id="rId390" Type="http://schemas.openxmlformats.org/officeDocument/2006/relationships/hyperlink" Target="https://sipac.sig.ufal.br/sipac/visualizaMaterial.do?popup=true&amp;id=9574&amp;acao=12" TargetMode="External"/><Relationship Id="rId391" Type="http://schemas.openxmlformats.org/officeDocument/2006/relationships/hyperlink" Target="https://www.acsreagentes.com.br/eter-de-petroleo-30-60-pa-acs-1l-acs-cientifica?utm_source=Site&amp;utm_medium=GoogleMerchant&amp;utm_campaign=GoogleMerchant&amp;gclid=Cj0KCQjwk7ugBhDIARIsAGuvgPY_bq_i85MO7EOQ53TA59LvnCRkABjjG9SVXd0Ue8ZJD2pu-3d_a2saAilwEALw_wcB" TargetMode="External"/><Relationship Id="rId392" Type="http://schemas.openxmlformats.org/officeDocument/2006/relationships/hyperlink" Target="https://www.glasslab.com.br/reagentes-e-meios/eter-de-petroleo-30-60-pa-1l?parceiro=6858&amp;gclid=Cj0KCQjwk7ugBhDIARIsAGuvgPa3-bqaKQRM_sl4dLM9GR8tJTbW3yVLSPY72Vek20AYAHkw7pYv2wAaAhPREALw_wcB" TargetMode="External"/><Relationship Id="rId393" Type="http://schemas.openxmlformats.org/officeDocument/2006/relationships/hyperlink" Target="https://www.labimport.com.br/reagentes/eter-de-petroleo/eter-de-petroleo-30-70-pa-acs-1-l-11927" TargetMode="External"/><Relationship Id="rId394" Type="http://schemas.openxmlformats.org/officeDocument/2006/relationships/hyperlink" Target="https://sipac.sig.ufal.br/sipac/visualizaMaterial.do?popup=true&amp;id=2216&amp;acao=12" TargetMode="External"/><Relationship Id="rId395" Type="http://schemas.openxmlformats.org/officeDocument/2006/relationships/hyperlink" Target="https://www.biomedh.com.br/008119/eter-etilico-pa-acs-1000ml.html" TargetMode="External"/><Relationship Id="rId396" Type="http://schemas.openxmlformats.org/officeDocument/2006/relationships/hyperlink" Target="https://chepplier.com/produto/pf-eter-etilico-pa-98-1000ml/" TargetMode="External"/><Relationship Id="rId397" Type="http://schemas.openxmlformats.org/officeDocument/2006/relationships/hyperlink" Target="https://www.didaticasp.com.br/produto/eter-etilico-pa-acs-1l-cas-60-29-7-pfssp-concentracao-98-densidade-071.html" TargetMode="External"/><Relationship Id="rId398" Type="http://schemas.openxmlformats.org/officeDocument/2006/relationships/hyperlink" Target="https://sipac.sig.ufal.br/sipac/visualizaMaterial.do?popup=true&amp;id=27601&amp;acao=12" TargetMode="External"/><Relationship Id="rId399" Type="http://schemas.openxmlformats.org/officeDocument/2006/relationships/hyperlink" Target="https://www.labimport.com.br/reagentes/etilenoglicol/etilenoglicol-monoetil-eter-etiglicol-pa-1l-11929" TargetMode="External"/><Relationship Id="rId400" Type="http://schemas.openxmlformats.org/officeDocument/2006/relationships/hyperlink" Target="https://www.glasslab.com.br/reagentes-e-meios/etileno-glicol-mono-etil-eter-pa-1l?parceiro=6858&amp;srsltid=Ad5pg_Ff6Ai2i85EnbGJi5AbLANS6tQYtR0hQeRpqfZh0DdKEp-5RO4ohhU" TargetMode="External"/><Relationship Id="rId401" Type="http://schemas.openxmlformats.org/officeDocument/2006/relationships/hyperlink" Target="https://www.didaticasp.com.br/etilenoglicol-monoetil-eter-1l" TargetMode="External"/><Relationship Id="rId402" Type="http://schemas.openxmlformats.org/officeDocument/2006/relationships/hyperlink" Target="https://sipac.sig.ufal.br/sipac/visualizaMaterial.do?popup=true&amp;id=18088&amp;acao=12" TargetMode="External"/><Relationship Id="rId403" Type="http://schemas.openxmlformats.org/officeDocument/2006/relationships/hyperlink" Target="https://www.glasslab.com.br/reagentes-e-meios/etileno-glicol-pa-1l?parceiro=6858&amp;gclid=Cj0KCQjwk7ugBhDIARIsAGuvgPZBxrZutPk6VQrsGQpJh2ai1hMPxXDPol_8HdUtUdEzjB2EytYJWsYaAmzQEALw_wcB" TargetMode="External"/><Relationship Id="rId404" Type="http://schemas.openxmlformats.org/officeDocument/2006/relationships/hyperlink" Target="https://www.lojasynth.com/reagentes-analiticosmaterias-primas/reagentes-analiticosmaterias-primas/etileno-glicol-1100g-p-a" TargetMode="External"/><Relationship Id="rId405" Type="http://schemas.openxmlformats.org/officeDocument/2006/relationships/hyperlink" Target="https://www.lablac.com.br/etilenoglicol-pa-1l" TargetMode="External"/><Relationship Id="rId406" Type="http://schemas.openxmlformats.org/officeDocument/2006/relationships/hyperlink" Target="https://sipac.sig.ufal.br/sipac/visualizaMaterial.do?popup=true&amp;id=27614&amp;acao=12" TargetMode="External"/><Relationship Id="rId407" Type="http://schemas.openxmlformats.org/officeDocument/2006/relationships/hyperlink" Target="https://www.acsreagentes.com.br/feniltiocarbamida-feniltioureia-pa-5g-acs-cientifica" TargetMode="External"/><Relationship Id="rId408" Type="http://schemas.openxmlformats.org/officeDocument/2006/relationships/hyperlink" Target="https://www.glasslab.com.br/reagentes-e-meios/feniltiocarbamida-feniltioureia-pa-10g?parceiro=6858&amp;srsltid=Ad5pg_Fbr0czbSet6fUKOJo8zN2ttsosakfHPuZx_-I9xTEwO5nLNZm6lwk" TargetMode="External"/><Relationship Id="rId409" Type="http://schemas.openxmlformats.org/officeDocument/2006/relationships/hyperlink" Target="https://sipac.sig.ufal.br/sipac/visualizaMaterial.do?popup=true&amp;id=11204&amp;acao=12" TargetMode="External"/><Relationship Id="rId410" Type="http://schemas.openxmlformats.org/officeDocument/2006/relationships/hyperlink" Target="https://www.acsreagentes.com.br/fenol-cristal-paacs-acido-fenico-500g-acs-cientifica?utm_source=Site&amp;utm_medium=GoogleMerchant&amp;utm_campaign=GoogleMerchant" TargetMode="External"/><Relationship Id="rId411" Type="http://schemas.openxmlformats.org/officeDocument/2006/relationships/hyperlink" Target="https://www.lojaprolab.com.br/fenol-cristal-pa-acs-81559" TargetMode="External"/><Relationship Id="rId412" Type="http://schemas.openxmlformats.org/officeDocument/2006/relationships/hyperlink" Target="https://www.labimport.com.br/reagentes/fenol/fenol-cristal-pa-acs-acido-fenico-500g" TargetMode="External"/><Relationship Id="rId413" Type="http://schemas.openxmlformats.org/officeDocument/2006/relationships/hyperlink" Target="https://sipac.sig.ufal.br/sipac/visualizaMaterial.do?popup=true&amp;id=1018&amp;acao=12" TargetMode="External"/><Relationship Id="rId414" Type="http://schemas.openxmlformats.org/officeDocument/2006/relationships/hyperlink" Target="https://www.glasslab.com.br/reagentes-e-meios/fenolftaleina-pa-acs-ci-764-25g?parceiro=6858&amp;gclid=Cj0KCQjwk7ugBhDIARIsAGuvgPZzFscJtLTJ2xXYG3HrIQgq2Z86J-kyRDXpm3hlD08nJdr1U8IDm_gaArC9EALw_wcB" TargetMode="External"/><Relationship Id="rId415" Type="http://schemas.openxmlformats.org/officeDocument/2006/relationships/hyperlink" Target="https://www.orionprodutoscientificos.com.br/fenolftaleina-pa-ci-764-25g-exodo-cientifica?utm_source=Site&amp;utm_medium=GoogleMerchant&amp;utm_campaign=GoogleMerchant&amp;gclid=Cj0KCQjwk7ugBhDIARIsAGuvgPYmTAZw4GHaPJZVnHDT0S0Ea7jnDQg26Jmgnk4LNyVPZKLsdxZBJ0UaAr3VEALw_w" TargetMode="External"/><Relationship Id="rId416" Type="http://schemas.openxmlformats.org/officeDocument/2006/relationships/hyperlink" Target="https://www.laderquimica.com.br/fenolftaleina-pa-25g-neon" TargetMode="External"/><Relationship Id="rId417" Type="http://schemas.openxmlformats.org/officeDocument/2006/relationships/hyperlink" Target="https://sipac.sig.ufal.br/sipac/visualizaMaterial.do?popup=true&amp;id=23661&amp;acao=12" TargetMode="External"/><Relationship Id="rId418" Type="http://schemas.openxmlformats.org/officeDocument/2006/relationships/hyperlink" Target="https://www.glasslab.com.br/reagentes-e-meios/ferro-reduzido-po-pa-1kg?parceiro=6858&amp;srsltid=Ad5pg_H53hWaa7OTECSMAw1bkA9JpJkvOFMXqg4PzY8LqKeBRcK4N6IaANs" TargetMode="External"/><Relationship Id="rId419" Type="http://schemas.openxmlformats.org/officeDocument/2006/relationships/hyperlink" Target="https://www.labimport.com.br/reagentes/ferro-reduzido/ferro-reduzido-po-pa-500g-11951" TargetMode="External"/><Relationship Id="rId420" Type="http://schemas.openxmlformats.org/officeDocument/2006/relationships/hyperlink" Target="https://www.orionprodutoscientificos.com.br/ferro-reduzido-po-pa-500g-exodo-cientifica-FR04704RA?utm_source=Site&amp;utm_medium=GoogleMerchant&amp;utm_campaign=GoogleMerchant" TargetMode="External"/><Relationship Id="rId421" Type="http://schemas.openxmlformats.org/officeDocument/2006/relationships/hyperlink" Target="https://sipac.sig.ufal.br/sipac/visualizaMaterial.do?popup=true&amp;id=2468&amp;acao=12" TargetMode="External"/><Relationship Id="rId422" Type="http://schemas.openxmlformats.org/officeDocument/2006/relationships/hyperlink" Target="https://www.acsreagentes.com.br/ferrocianeto-de-potassio-3h2o-pa-acs-250g-acs-cientifica?utm_source=Site&amp;utm_medium=GoogleMerchant&amp;utm_campaign=GoogleMerchant" TargetMode="External"/><Relationship Id="rId423" Type="http://schemas.openxmlformats.org/officeDocument/2006/relationships/hyperlink" Target="https://www.glasslab.com.br/reagentes-e-meios/ferrocianeto-de-potassio-3h2o-pa-acs-250g?parceiro=6858&amp;srsltid=Ad5pg_Gr4MAXgJ-kWCGUb5iZkg1d8ROvHxjWTNZQWdzjTbLoBgQOWsHu8fA" TargetMode="External"/><Relationship Id="rId424" Type="http://schemas.openxmlformats.org/officeDocument/2006/relationships/hyperlink" Target="https://www.labimport.com.br/reagentes/ferricianeto/ferrocianeto-de-potassio-3h2o-pa-acs-500g" TargetMode="External"/><Relationship Id="rId425" Type="http://schemas.openxmlformats.org/officeDocument/2006/relationships/hyperlink" Target="https://sipac.sig.ufal.br/sipac/visualizaMaterial.do?popup=true&amp;id=22997&amp;acao=12" TargetMode="External"/><Relationship Id="rId426" Type="http://schemas.openxmlformats.org/officeDocument/2006/relationships/hyperlink" Target="https://www.acsreagentes.com.br/floroglucinolfluroglucina-2h2o-pa-25g-acs-cientifica?utm_source=Site&amp;utm_medium=GoogleMerchant&amp;utm_campaign=GoogleMerchant&amp;gclid=Cj0KCQjwk7ugBhDIARIsAGuvgPZScpAp_EVySzf_pdamPGl_XFZLjisNfDXSGOjkX-t11p73m216CHgaAqM-EALw_wcB" TargetMode="External"/><Relationship Id="rId427" Type="http://schemas.openxmlformats.org/officeDocument/2006/relationships/hyperlink" Target="https://www.glasslab.com.br/reagentes-e-meios/floroglucinol-fluroglucina-2h2o-pa-25g?parceiro=6858&amp;gclid=Cj0KCQjwk7ugBhDIARIsAGuvgPYEOXGZAsCB7KCPg8fbLbjX0Avl6VD0pR0_hNUOSQfNKlwPqk0h1jEaAq9qEALw_wcB" TargetMode="External"/><Relationship Id="rId428" Type="http://schemas.openxmlformats.org/officeDocument/2006/relationships/hyperlink" Target="https://sipac.sig.ufal.br/sipac/visualizaMaterial.do?popup=true&amp;id=18091&amp;acao=12" TargetMode="External"/><Relationship Id="rId429" Type="http://schemas.openxmlformats.org/officeDocument/2006/relationships/hyperlink" Target="https://www.glasslab.com.br/reagentes-e-meios/fluoreto-de-sodio-pa-500g" TargetMode="External"/><Relationship Id="rId430" Type="http://schemas.openxmlformats.org/officeDocument/2006/relationships/hyperlink" Target="http://www.orbitallab.com.br/fluoreto-de-sodio-pa-acs-(-produto-controlado-pelo-ministerio-do-exercito)-1383" TargetMode="External"/><Relationship Id="rId431" Type="http://schemas.openxmlformats.org/officeDocument/2006/relationships/hyperlink" Target="https://sipac.sig.ufal.br/sipac/visualizaMaterial.do?popup=true&amp;id=3545&amp;acao=12" TargetMode="External"/><Relationship Id="rId432" Type="http://schemas.openxmlformats.org/officeDocument/2006/relationships/hyperlink" Target="https://www.biomedh.com.br/007073/formaldeido-37-pa-1000ml.html" TargetMode="External"/><Relationship Id="rId433" Type="http://schemas.openxmlformats.org/officeDocument/2006/relationships/hyperlink" Target="https://noxsolutions.com.br/formaldeido-pa-acs-1000ml" TargetMode="External"/><Relationship Id="rId434" Type="http://schemas.openxmlformats.org/officeDocument/2006/relationships/hyperlink" Target="https://www.quimisulsc.com.br/index.php?route=product/product&amp;product_id=101" TargetMode="External"/><Relationship Id="rId435" Type="http://schemas.openxmlformats.org/officeDocument/2006/relationships/hyperlink" Target="https://www.google.com/url?sa=t&amp;rct=j&amp;q=&amp;esrc=s&amp;source=web&amp;cd=&amp;cad=rja&amp;uact=8&amp;ved=2ahUKEwi98c-pwdn9AhWDILkGHSoyDRUQFnoECAUQAQ&amp;url=https%3A%2F%2Fcnpj.biz%2F24788909000114&amp;usg=AOvVaw0qSKlwAhLOHJGi9RwAXLoR" TargetMode="External"/><Relationship Id="rId436" Type="http://schemas.openxmlformats.org/officeDocument/2006/relationships/hyperlink" Target="https://sipac.sig.ufal.br/sipac/visualizaMaterial.do?popup=true&amp;id=25749&amp;acao=12" TargetMode="External"/><Relationship Id="rId437" Type="http://schemas.openxmlformats.org/officeDocument/2006/relationships/hyperlink" Target="https://www.labimport.com.br/reagentes/fosfato-de-calcio/fosfato-de-calcio-bibasico-anidro-pa-500g" TargetMode="External"/><Relationship Id="rId438" Type="http://schemas.openxmlformats.org/officeDocument/2006/relationships/hyperlink" Target="https://www.lojasynth.com/reagentes-analiticosmaterias-primas/reagentes-analiticosmaterias-primas/fosfato-de-calcio-bibasico-anidro-p-a?variant_id=871" TargetMode="External"/><Relationship Id="rId439" Type="http://schemas.openxmlformats.org/officeDocument/2006/relationships/hyperlink" Target="https://www.didaticasp.com.br/fosfato-de-calcio-bibasico-anidro-pa-500g" TargetMode="External"/><Relationship Id="rId440" Type="http://schemas.openxmlformats.org/officeDocument/2006/relationships/hyperlink" Target="https://sipac.sig.ufal.br/sipac/visualizaMaterial.do?popup=true&amp;id=10942&amp;acao=12" TargetMode="External"/><Relationship Id="rId441" Type="http://schemas.openxmlformats.org/officeDocument/2006/relationships/hyperlink" Target="https://www.lojasynth.com/reagentes-analiticosmaterias-primas/reagentes-analiticosmaterias-primas/fosfato-de-potassio-monobasico-anidro-p-a?variant_id=301069" TargetMode="External"/><Relationship Id="rId442" Type="http://schemas.openxmlformats.org/officeDocument/2006/relationships/hyperlink" Target="https://ludwigbiotec.com.br/loja/produto/fosfato-de-potassio-monobasico-anidro-p-a-250-g/936" TargetMode="External"/><Relationship Id="rId443" Type="http://schemas.openxmlformats.org/officeDocument/2006/relationships/hyperlink" Target="https://www.sabresafety.com.br/produto/fosfato-de-potassio-monobasico-anidro-pa-500gr/" TargetMode="External"/><Relationship Id="rId444" Type="http://schemas.openxmlformats.org/officeDocument/2006/relationships/hyperlink" Target="https://sipac.sig.ufal.br/sipac/visualizaMaterial.do?popup=true&amp;id=625&amp;acao=12" TargetMode="External"/><Relationship Id="rId445" Type="http://schemas.openxmlformats.org/officeDocument/2006/relationships/hyperlink" Target="https://www.lojasynth.com/reagentes-analiticosmaterias-primas/reagentes-analiticosmaterias-primas/fosfato-de-sodio-bibasico-anidro-p-a-a-c-s?variant_id=300929" TargetMode="External"/><Relationship Id="rId446" Type="http://schemas.openxmlformats.org/officeDocument/2006/relationships/hyperlink" Target="https://www.didaticasp.com.br/fosfato-de-sodio-bibasico-anidro-pa-500g" TargetMode="External"/><Relationship Id="rId447" Type="http://schemas.openxmlformats.org/officeDocument/2006/relationships/hyperlink" Target="https://www.labimport.com.br/reagentes/fosfato-de-sodio/fosfato-de-sodio-dibasico-anidro-pa-1kg" TargetMode="External"/><Relationship Id="rId448" Type="http://schemas.openxmlformats.org/officeDocument/2006/relationships/hyperlink" Target="https://sipac.sig.ufal.br/sipac/visualizaMaterial.do?popup=true&amp;id=3547&amp;acao=12" TargetMode="External"/><Relationship Id="rId449" Type="http://schemas.openxmlformats.org/officeDocument/2006/relationships/hyperlink" Target="https://www.lojasynth.com/reagentes-analiticosmaterias-primas/reagentes-analiticosmaterias-primas/fosfato-de-sodio-monobasico-h2o-p-a-a-c-s?variant_id=1030" TargetMode="External"/><Relationship Id="rId450" Type="http://schemas.openxmlformats.org/officeDocument/2006/relationships/hyperlink" Target="http://cnpj.info/02208188000193" TargetMode="External"/><Relationship Id="rId451" Type="http://schemas.openxmlformats.org/officeDocument/2006/relationships/hyperlink" Target="https://www.acsreagentes.com.br/fosfato-de-sodio-monobasico-h2o-monohidratado-pa-acs-1kg-acs-cientifica" TargetMode="External"/><Relationship Id="rId452" Type="http://schemas.openxmlformats.org/officeDocument/2006/relationships/hyperlink" Target="https://sipac.sig.ufal.br/sipac/visualizaMaterial.do?popup=true&amp;id=25863&amp;acao=12" TargetMode="External"/><Relationship Id="rId453" Type="http://schemas.openxmlformats.org/officeDocument/2006/relationships/hyperlink" Target="https://www.lojasynth.com/reagentes-analiticosmaterias-primas/reagentes-analiticosmaterias-primas/fosfato-de-sodio-monobasico-anidro-p-a?variant_id=1018" TargetMode="External"/><Relationship Id="rId454" Type="http://schemas.openxmlformats.org/officeDocument/2006/relationships/hyperlink" Target="https://ludwigbiotec.com.br/loja/produto/fosfato-de-sodio-monobasico-anidro-98-p-a-500-g/949" TargetMode="External"/><Relationship Id="rId455" Type="http://schemas.openxmlformats.org/officeDocument/2006/relationships/hyperlink" Target="https://labtrade.com.br/produto/fosfato-de-sodio-monobasico-anidro-pa/" TargetMode="External"/><Relationship Id="rId456" Type="http://schemas.openxmlformats.org/officeDocument/2006/relationships/hyperlink" Target="https://sipac.sig.ufal.br/sipac/visualizaMaterial.do?popup=true&amp;id=25750&amp;acao=12" TargetMode="External"/><Relationship Id="rId457" Type="http://schemas.openxmlformats.org/officeDocument/2006/relationships/hyperlink" Target="https://www.lojasynth.com/reagentes-analiticosmaterias-primas/reagentes-analiticosmaterias-primas/fosfato-de-sodio-tribasico-12h2o-p-a?variant_id=1056" TargetMode="External"/><Relationship Id="rId458" Type="http://schemas.openxmlformats.org/officeDocument/2006/relationships/hyperlink" Target="https://www.lojaprolab.com.br/fosfato-de-sodio-tribasico-12h2o-pa-acs-79082" TargetMode="External"/><Relationship Id="rId459" Type="http://schemas.openxmlformats.org/officeDocument/2006/relationships/hyperlink" Target="https://www.lojanetlab.com.br/reagentes/pa/fosfato-de-sodio-tribasico-12h2o-pa-acs" TargetMode="External"/><Relationship Id="rId460" Type="http://schemas.openxmlformats.org/officeDocument/2006/relationships/hyperlink" Target="https://sipac.sig.ufal.br/sipac/visualizaMaterial.do?popup=true&amp;id=23592&amp;acao=12" TargetMode="External"/><Relationship Id="rId461" Type="http://schemas.openxmlformats.org/officeDocument/2006/relationships/hyperlink" Target="https://www.centerlab.com/glicerina-pa-1000ml-neon-cod-02698.html" TargetMode="External"/><Relationship Id="rId462" Type="http://schemas.openxmlformats.org/officeDocument/2006/relationships/hyperlink" Target="https://www.sabresafety.com.br/produto/glicerina-bi-destilada-pa-1000-ml/" TargetMode="External"/><Relationship Id="rId463" Type="http://schemas.openxmlformats.org/officeDocument/2006/relationships/hyperlink" Target="https://www.quimicenter.com.br/reagentes/glicerina-bidestilada-pa-frasco-plastico-1000ml-dinamica" TargetMode="External"/><Relationship Id="rId464" Type="http://schemas.openxmlformats.org/officeDocument/2006/relationships/hyperlink" Target="https://sipac.sig.ufal.br/sipac/visualizaMaterial.do?popup=true&amp;id=29324&amp;acao=12" TargetMode="External"/><Relationship Id="rId465" Type="http://schemas.openxmlformats.org/officeDocument/2006/relationships/hyperlink" Target="https://www.biomedh.com.br/007135/glicerina-pa-acs-1250g-1000ml.html" TargetMode="External"/><Relationship Id="rId466" Type="http://schemas.openxmlformats.org/officeDocument/2006/relationships/hyperlink" Target="https://www.biomedh.com.br/marca/150-exodo/" TargetMode="External"/><Relationship Id="rId467" Type="http://schemas.openxmlformats.org/officeDocument/2006/relationships/hyperlink" Target="https://www.noxsolutions.com.br/glicerina-pa-acs-1000ml" TargetMode="External"/><Relationship Id="rId468" Type="http://schemas.openxmlformats.org/officeDocument/2006/relationships/hyperlink" Target="https://sipac.sig.ufal.br/sipac/visualizaMaterial.do?popup=true&amp;id=18153&amp;acao=12" TargetMode="External"/><Relationship Id="rId469" Type="http://schemas.openxmlformats.org/officeDocument/2006/relationships/hyperlink" Target="https://www.glasslab.com.br/reagentes-e-meios/glicina-acido-amino-acetico-pa-100g" TargetMode="External"/><Relationship Id="rId470" Type="http://schemas.openxmlformats.org/officeDocument/2006/relationships/hyperlink" Target="https://www.ciruvix.com.br/acido-aminoacetico-pa-glicina-500gr-neon" TargetMode="External"/><Relationship Id="rId471" Type="http://schemas.openxmlformats.org/officeDocument/2006/relationships/hyperlink" Target="https://www.biomedh.com.br/008101/glicina-pa-acido-amino-acetico-100gr.html" TargetMode="External"/><Relationship Id="rId472" Type="http://schemas.openxmlformats.org/officeDocument/2006/relationships/hyperlink" Target="https://sipac.sig.ufal.br/sipac/visualizaMaterial.do?popup=true&amp;id=23412&amp;acao=12" TargetMode="External"/><Relationship Id="rId473" Type="http://schemas.openxmlformats.org/officeDocument/2006/relationships/hyperlink" Target="https://www.lojanetlab.com.br/reagentes/pa/glicose-anidra-dextrose-pa-acs-500g-dinamica" TargetMode="External"/><Relationship Id="rId474" Type="http://schemas.openxmlformats.org/officeDocument/2006/relationships/hyperlink" Target="https://www.acsreagentes.com.br/glicose-anidra-dextrose-pa-acs-25kg-acs-cientifica" TargetMode="External"/><Relationship Id="rId475" Type="http://schemas.openxmlformats.org/officeDocument/2006/relationships/hyperlink" Target="https://www.lojasynth.com/reagentes-analiticosmaterias-primas/reagentes-analiticosmaterias-primas/glicose-d-anidra-p-a-a-c-s?variant_id=301323" TargetMode="External"/><Relationship Id="rId476" Type="http://schemas.openxmlformats.org/officeDocument/2006/relationships/hyperlink" Target="https://sipac.sig.ufal.br/sipac/visualizaMaterial.do?popup=true&amp;id=23596&amp;acao=12" TargetMode="External"/><Relationship Id="rId477" Type="http://schemas.openxmlformats.org/officeDocument/2006/relationships/hyperlink" Target="https://www.glasslab.com.br/reagentes-e-meios/hexano-hplc-95-1l" TargetMode="External"/><Relationship Id="rId478" Type="http://schemas.openxmlformats.org/officeDocument/2006/relationships/hyperlink" Target="http://cnpj.info/02208188000193" TargetMode="External"/><Relationship Id="rId479" Type="http://schemas.openxmlformats.org/officeDocument/2006/relationships/hyperlink" Target="https://www.acsreagentes.com.br/hexano-95-uv-hplc-espectroscopico-mistura-de-isomeros-1l-acs-cientifica" TargetMode="External"/><Relationship Id="rId480" Type="http://schemas.openxmlformats.org/officeDocument/2006/relationships/hyperlink" Target="https://sipac.sig.ufal.br/sipac/visualizaMaterial.do?popup=true&amp;id=23597&amp;acao=12" TargetMode="External"/><Relationship Id="rId481" Type="http://schemas.openxmlformats.org/officeDocument/2006/relationships/hyperlink" Target="https://www.pro-analise.com.br/n-hexano-PA-ACS_1043741000-Merck" TargetMode="External"/><Relationship Id="rId482" Type="http://schemas.openxmlformats.org/officeDocument/2006/relationships/hyperlink" Target="https://www.lojaprolab.com.br/hexano-n-99-pa-acs-79124" TargetMode="External"/><Relationship Id="rId483" Type="http://schemas.openxmlformats.org/officeDocument/2006/relationships/hyperlink" Target="https://www.glasslab.com.br/reagentes-e-meios/hexano-n-pa-acs-99-1l" TargetMode="External"/><Relationship Id="rId484" Type="http://schemas.openxmlformats.org/officeDocument/2006/relationships/hyperlink" Target="https://sipac.sig.ufal.br/sipac/visualizaMaterial.do?popup=true&amp;id=23598&amp;acao=12" TargetMode="External"/><Relationship Id="rId485" Type="http://schemas.openxmlformats.org/officeDocument/2006/relationships/hyperlink" Target="https://www.orionprodutoscientificos.com.br/hidroquinona-pa-500g-exodo-cientifica?utm_source=Site&amp;utm_medium=GoogleMerchant&amp;utm_campaign=GoogleMerchant" TargetMode="External"/><Relationship Id="rId486" Type="http://schemas.openxmlformats.org/officeDocument/2006/relationships/hyperlink" Target="https://ludwigbiotec.com.br/loja/produto/hidroquinona-99-pa-250/981" TargetMode="External"/><Relationship Id="rId487" Type="http://schemas.openxmlformats.org/officeDocument/2006/relationships/hyperlink" Target="https://www.didaticasp.com.br/produto/hidroquinona-99-pa-500g-cas-123-31-9-ssp.html" TargetMode="External"/><Relationship Id="rId488" Type="http://schemas.openxmlformats.org/officeDocument/2006/relationships/hyperlink" Target="https://sipac.sig.ufal.br/sipac/visualizaMaterial.do?popup=true&amp;id=23603&amp;acao=12" TargetMode="External"/><Relationship Id="rId489" Type="http://schemas.openxmlformats.org/officeDocument/2006/relationships/hyperlink" Target="https://www.glasslab.com.br/reagentes-e-meios/hidroxido-de-amonio-24-26-pa-1l?parceiro=6858&amp;srsltid=Ad5pg_HWnRU7SjI-WjlBXyCImRRT45Jrx8yJMXny0nsWzkPMhCwykc-h_R4" TargetMode="External"/><Relationship Id="rId490" Type="http://schemas.openxmlformats.org/officeDocument/2006/relationships/hyperlink" Target="https://www.didaticasp.com.br/hidroxido-de-amonio-24-a-26-pa-1l-pfssp" TargetMode="External"/><Relationship Id="rId491" Type="http://schemas.openxmlformats.org/officeDocument/2006/relationships/hyperlink" Target="https://sipac.sig.ufal.br/sipac/visualizaMaterial.do?popup=true&amp;id=23607&amp;acao=12" TargetMode="External"/><Relationship Id="rId492" Type="http://schemas.openxmlformats.org/officeDocument/2006/relationships/hyperlink" Target="https://www.glasslab.com.br/reagentes-e-meios/hidroxido-de-bario-8h2o-pa-acs-500g?parceiro=6858&amp;srsltid=Ad5pg_GnoZQ7pOv7ywfBrQjrHnmMUVO78qBx-AwYPwj8eu1E3TwZHyONdXw" TargetMode="External"/><Relationship Id="rId493" Type="http://schemas.openxmlformats.org/officeDocument/2006/relationships/hyperlink" Target="https://www.acsreagentes.com.br/hidroxido-de-bario-8h2o-pa-acs-500g-acs-cientifica?utm_source=Site&amp;utm_medium=GoogleMerchant&amp;utm_campaign=GoogleMerchant" TargetMode="External"/><Relationship Id="rId494" Type="http://schemas.openxmlformats.org/officeDocument/2006/relationships/hyperlink" Target="https://www.lojaprolab.com.br/hidroxido-de-bario-8h2o-pa-acs-79133" TargetMode="External"/><Relationship Id="rId495" Type="http://schemas.openxmlformats.org/officeDocument/2006/relationships/hyperlink" Target="https://sipac.sig.ufal.br/sipac/visualizaMaterial.do?popup=true&amp;id=23610&amp;acao=12" TargetMode="External"/><Relationship Id="rId496" Type="http://schemas.openxmlformats.org/officeDocument/2006/relationships/hyperlink" Target="https://www.orionprodutoscientificos.com.br/hidroxido-de-calcio-p-a-500-g-fabricante-neon-N01538?utm_source=Site&amp;utm_medium=GoogleMerchant&amp;utm_campaign=GoogleMerchant" TargetMode="External"/><Relationship Id="rId497" Type="http://schemas.openxmlformats.org/officeDocument/2006/relationships/hyperlink" Target="https://www.glasslab.com.br/reagentes-e-meios/hidroxido-de-calcio-pa-500g?parceiro=6858&amp;srsltid=Ad5pg_HRe49TJKsFd2UilIqCOuqXTYEfpserTm16uH4QRIHFht1CB-SpNSM" TargetMode="External"/><Relationship Id="rId498" Type="http://schemas.openxmlformats.org/officeDocument/2006/relationships/hyperlink" Target="https://www.didaticasp.com.br/produto/hidroxido-de-calcio-pa-500g-cas-1305-62-0.html" TargetMode="External"/><Relationship Id="rId499" Type="http://schemas.openxmlformats.org/officeDocument/2006/relationships/hyperlink" Target="https://sipac.sig.ufal.br/sipac/visualizaMaterial.do?popup=true&amp;id=23614&amp;acao=12" TargetMode="External"/><Relationship Id="rId500" Type="http://schemas.openxmlformats.org/officeDocument/2006/relationships/hyperlink" Target="https://www.glasslab.com.br/reagentes-e-meios/hidroxido-de-potassio-escamas-pa-500g?parceiro=6858&amp;srsltid=Ad5pg_HdJdTx_a8Bf_o45aWNa3FsFmHkVm0YDqIr2O4QVNkFogwtM-kOaNs" TargetMode="External"/><Relationship Id="rId501" Type="http://schemas.openxmlformats.org/officeDocument/2006/relationships/hyperlink" Target="https://www.lojaquimica.com.br/hidroxido-de-potassio-p-a-1000g" TargetMode="External"/><Relationship Id="rId502" Type="http://schemas.openxmlformats.org/officeDocument/2006/relationships/hyperlink" Target="https://www.biomedh.com.br/008136/hidroxido-de-potassio-pa-acs-500gr.html" TargetMode="External"/><Relationship Id="rId503" Type="http://schemas.openxmlformats.org/officeDocument/2006/relationships/hyperlink" Target="https://sipac.sig.ufal.br/sipac/visualizaMaterial.do?popup=true&amp;id=23617&amp;acao=12" TargetMode="External"/><Relationship Id="rId504" Type="http://schemas.openxmlformats.org/officeDocument/2006/relationships/hyperlink" Target="https://www.biomedh.com.br/006999/hidroxido-de-sodio-microperolas-pa-acs-1000gr.html" TargetMode="External"/><Relationship Id="rId505" Type="http://schemas.openxmlformats.org/officeDocument/2006/relationships/hyperlink" Target="https://www.pro-analise.com.br/reagentes?product_id=7958" TargetMode="External"/><Relationship Id="rId506" Type="http://schemas.openxmlformats.org/officeDocument/2006/relationships/hyperlink" Target="https://www.laderquimica.com.br/hidroxido-de-sodio-micro-perolas-pa-1kg-neon-" TargetMode="External"/><Relationship Id="rId507" Type="http://schemas.openxmlformats.org/officeDocument/2006/relationships/hyperlink" Target="https://sipac.sig.ufal.br/sipac/visualizaMaterial.do?popup=true&amp;id=30780&amp;acao=12" TargetMode="External"/><Relationship Id="rId508" Type="http://schemas.openxmlformats.org/officeDocument/2006/relationships/hyperlink" Target="https://www.acquailha.com.br/produtos/hipoclorito-de-sodio-cordex-12/?variant=460836025&amp;pf=mc&amp;gclid=Cj0KCQjwtsCgBhDEARIsAE7RYh0G4fOxTWWshOALz-f4JQArqm5QhYlgE1ceiK0Dve-mQtC6KzKFS4MaAgrSEALw_wcB" TargetMode="External"/><Relationship Id="rId509" Type="http://schemas.openxmlformats.org/officeDocument/2006/relationships/hyperlink" Target="https://www.colortec.com.br/copa-e-limpeza/produtos-de-limpeza/hipoclorito-de-sodio-5-lt-12-da-casa-c03?gclid=Cj0KCQjwtsCgBhDEARIsAE7RYh1a0HqZjJaDXyMc_sNadX76XaiwrRs1ud4mowuvMfkHpqKrn9lzF-4aArw2EALw_wcB" TargetMode="External"/><Relationship Id="rId510" Type="http://schemas.openxmlformats.org/officeDocument/2006/relationships/hyperlink" Target="https://www.alecrimessenciaria.com.br/cloro-hipoclorito-de-sodio-12?utm_source=Site&amp;utm_medium=GoogleMerchant&amp;utm_campaign=GoogleMerchant" TargetMode="External"/><Relationship Id="rId511" Type="http://schemas.openxmlformats.org/officeDocument/2006/relationships/hyperlink" Target="https://sipac.sig.ufal.br/sipac/visualizaMaterial.do?popup=true&amp;id=23619&amp;acao=12" TargetMode="External"/><Relationship Id="rId512" Type="http://schemas.openxmlformats.org/officeDocument/2006/relationships/hyperlink" Target="https://ludwigbiotec.com.br/loja/produto/iodato-de-potassio-p-a-250-g/1002" TargetMode="External"/><Relationship Id="rId513" Type="http://schemas.openxmlformats.org/officeDocument/2006/relationships/hyperlink" Target="https://www.acsreagentes.com.br/iodato-de-potassio-pa-acs-100g-acs-cientifica?utm_source=Site&amp;utm_medium=GoogleMerchant&amp;utm_campaign=GoogleMerchant" TargetMode="External"/><Relationship Id="rId514" Type="http://schemas.openxmlformats.org/officeDocument/2006/relationships/hyperlink" Target="https://www.laderquimica.com.br/iodato-potassio-pa-neon-100g?utm_source=Site&amp;utm_medium=GoogleMerchant&amp;utm_campaign=GoogleMerchant&amp;srsltid=Ad5pg_HZQAKmrUxtCpexSfhUsMyMeblAAbb5-Yhd2rANaUEyFcuVgiydbJg" TargetMode="External"/><Relationship Id="rId515" Type="http://schemas.openxmlformats.org/officeDocument/2006/relationships/hyperlink" Target="https://sipac.sig.ufal.br/sipac/visualizaMaterial.do?popup=true&amp;id=23620&amp;acao=12" TargetMode="External"/><Relationship Id="rId516" Type="http://schemas.openxmlformats.org/officeDocument/2006/relationships/hyperlink" Target="https://www.glasslab.com.br/reagentes-e-meios/iodeto-de-potassio-pa-acs-100g?parceiro=6858&amp;gclid=Cj0KCQjwtsCgBhDEARIsAE7RYh0_GeQdckq-Frf-5o8oKP5EHCxJCQHJw7Z9iE55_an9Jhv7W0b_wsYaArvPEALw_wcB" TargetMode="External"/><Relationship Id="rId517" Type="http://schemas.openxmlformats.org/officeDocument/2006/relationships/hyperlink" Target="https://www.lojasynth.com/reagentes-analiticosmaterias-primas/reagentes-analiticosmaterias-primas/iodeto-de-potassio-p-a" TargetMode="External"/><Relationship Id="rId518" Type="http://schemas.openxmlformats.org/officeDocument/2006/relationships/hyperlink" Target="https://www.biomedh.com.br/007008/iodeto-de-potassio-pa-acs-100gr.html" TargetMode="External"/><Relationship Id="rId519" Type="http://schemas.openxmlformats.org/officeDocument/2006/relationships/hyperlink" Target="https://sipac.sig.ufal.br/sipac/visualizaMaterial.do?popup=true&amp;id=23621&amp;acao=12" TargetMode="External"/><Relationship Id="rId520" Type="http://schemas.openxmlformats.org/officeDocument/2006/relationships/hyperlink" Target="https://www.acsreagentes.com.br/iodeto-de-sodio-pa-100g-acs-cientifica?utm_source=Site&amp;utm_medium=GoogleMerchant&amp;utm_campaign=GoogleMerchant&amp;gclid=Cj0KCQjwtsCgBhDEARIsAE7RYh15kZ5VmIm218FH5o8eofQqaYKP-V2jAllm-5iMIAD9yQez4NNZbKwaAvhDEALw_wcB" TargetMode="External"/><Relationship Id="rId521" Type="http://schemas.openxmlformats.org/officeDocument/2006/relationships/hyperlink" Target="https://www.glasslab.com.br/reagentes-e-meios/iodeto-de-sodio-pa-100g?parceiro=6858&amp;gclid=Cj0KCQjwtsCgBhDEARIsAE7RYh0FRacpqDoorNZHZXHS8EB09VowPEIra2vVK_7LuNFWXF9wwWf-0iwaAi2iEALw_wcB" TargetMode="External"/><Relationship Id="rId522" Type="http://schemas.openxmlformats.org/officeDocument/2006/relationships/hyperlink" Target="https://ludwigbiotec.com.br/loja/produto/iodeto-de-sodio-p-a-100-g/1013" TargetMode="External"/><Relationship Id="rId523" Type="http://schemas.openxmlformats.org/officeDocument/2006/relationships/hyperlink" Target="https://sipac.sig.ufal.br/sipac/visualizaMaterial.do?popup=true&amp;id=15355&amp;acao=12" TargetMode="External"/><Relationship Id="rId524" Type="http://schemas.openxmlformats.org/officeDocument/2006/relationships/hyperlink" Target="https://www.glasslab.com.br/reagentes-e-meios/lauril-dodecil-sulf-de-sodio-pa-500g?parceiro=6858&amp;gclid=Cj0KCQjwtsCgBhDEARIsAE7RYh1a9UeOQ2jmJs363em3vG23Wm5Hta1ozAcRy-Rs9PHp05Ipbs2V5PsaAi4nEALw_wcB" TargetMode="External"/><Relationship Id="rId525" Type="http://schemas.openxmlformats.org/officeDocument/2006/relationships/hyperlink" Target="https://www.acsreagentes.com.br/lauril-sulfato-de-sodio-pa-dodecilsulfato-500g-acs-cientifica?utm_source=Site&amp;utm_medium=GoogleMerchant&amp;utm_campaign=GoogleMerchant&amp;gclid=Cj0KCQjwtsCgBhDEARIsAE7RYh2ZOmMHlQ6S13IxmSQhTJpgSiSeypZNI6RCJqTxO5muVtu4AKYjadQaArlxE" TargetMode="External"/><Relationship Id="rId526" Type="http://schemas.openxmlformats.org/officeDocument/2006/relationships/hyperlink" Target="https://www.didaticasp.com.br/produto/dodecil-sulfato-de-sodio-95-puro-500g-cas-151-21-3.html" TargetMode="External"/><Relationship Id="rId527" Type="http://schemas.openxmlformats.org/officeDocument/2006/relationships/hyperlink" Target="https://sipac.sig.ufal.br/sipac/visualizaMaterial.do?popup=true&amp;id=23406&amp;acao=12" TargetMode="External"/><Relationship Id="rId528" Type="http://schemas.openxmlformats.org/officeDocument/2006/relationships/hyperlink" Target="https://www.acsreagentes.com.br/iodo-iodeto-lugol-forte-solucao-5-aquoso-500ml-acs-cientifica?utm_source=Site&amp;utm_medium=GoogleMerchant&amp;utm_campaign=GoogleMerchant&amp;gclid=Cj0KCQjwtsCgBhDEARIsAE7RYh2bTQ4ENx97B9l1NajDYuGTPfn-mErpxdqhoAzXVcMQ-7GIUVls6QoaAsKjE" TargetMode="External"/><Relationship Id="rId529" Type="http://schemas.openxmlformats.org/officeDocument/2006/relationships/hyperlink" Target="https://www.orionprodutoscientificos.com.br/lugol-forte-em-solucao-1000-ml-fabricante-neon-N01532?utm_source=Site&amp;utm_medium=GoogleMerchant&amp;utm_campaign=GoogleMerchant" TargetMode="External"/><Relationship Id="rId530" Type="http://schemas.openxmlformats.org/officeDocument/2006/relationships/hyperlink" Target="https://www.shoppingprohospital.com.br/saneantes/lugol-forte-5-1000ml-proc9?parceiro=8087&amp;srsltid=Ad5pg_HC1HxVhO3XyYuyiZmrM65GpGYqOMCO0oI7v4W1JjYOecwdPI3e3KM" TargetMode="External"/><Relationship Id="rId531" Type="http://schemas.openxmlformats.org/officeDocument/2006/relationships/hyperlink" Target="https://sipac.sig.ufal.br/sipac/visualizaMaterial.do?popup=true&amp;id=24912&amp;acao=12" TargetMode="External"/><Relationship Id="rId532" Type="http://schemas.openxmlformats.org/officeDocument/2006/relationships/hyperlink" Target="https://www.orionprodutoscientificos.com.br/magnesio-metalico-em-raspas-aparas-250g-exodo-cientifica" TargetMode="External"/><Relationship Id="rId533" Type="http://schemas.openxmlformats.org/officeDocument/2006/relationships/hyperlink" Target="https://www.labimport.com.br/reagentes/magnesio/magnesio-metalico-em-raspas-aparas-250g" TargetMode="External"/><Relationship Id="rId534" Type="http://schemas.openxmlformats.org/officeDocument/2006/relationships/hyperlink" Target="https://www.acsreagentes.com.br/magnesio-metalico-em-raspas-aparas-250g-acs-cientifica" TargetMode="External"/><Relationship Id="rId535" Type="http://schemas.openxmlformats.org/officeDocument/2006/relationships/hyperlink" Target="https://sipac.sig.ufal.br/sipac/visualizaMaterial.do?popup=true&amp;id=28214&amp;acao=12" TargetMode="External"/><Relationship Id="rId536" Type="http://schemas.openxmlformats.org/officeDocument/2006/relationships/hyperlink" Target="https://www.orionprodutoscientificos.com.br/agar-citrato-de-simmons-frasco-500g-himedia?utm_source=Site&amp;utm_medium=GoogleMerchant&amp;utm_campaign=GoogleMerchant" TargetMode="External"/><Relationship Id="rId537" Type="http://schemas.openxmlformats.org/officeDocument/2006/relationships/hyperlink" Target="https://www.glasslab.com.br/reagentes-e-meios/agar-citrato-simmons-frasco-500g-k25-1014-kasvi?parceiro=6858&amp;gclid=Cj0KCQjwtsCgBhDEARIsAE7RYh0QfQFDYSbn3tLGcXKXQl4vf_jvpDVlCpezlEpTff6S7SntJkLkHZ4aAvToEALw_wcB" TargetMode="External"/><Relationship Id="rId538" Type="http://schemas.openxmlformats.org/officeDocument/2006/relationships/hyperlink" Target="https://www.lkpdiagnosticos.com.br/meios-de-cultura/7156-agar-citrato-simmons-simmons-citrate-agar-500g?parceiro=3898" TargetMode="External"/><Relationship Id="rId539" Type="http://schemas.openxmlformats.org/officeDocument/2006/relationships/hyperlink" Target="https://sipac.sig.ufal.br/sipac/visualizaMaterial.do?popup=true&amp;id=30418&amp;acao=12" TargetMode="External"/><Relationship Id="rId540" Type="http://schemas.openxmlformats.org/officeDocument/2006/relationships/hyperlink" Target="https://www.orionprodutoscientificos.com.br/metassilicato-de-sodio-nonahidratado-98-p-a-250-g-fabricante-neon-N03398" TargetMode="External"/><Relationship Id="rId541" Type="http://schemas.openxmlformats.org/officeDocument/2006/relationships/hyperlink" Target="https://www.acsreagentes.com.br/silicato-de-sodio-puro-500g-acs-cientifica?utm_source=Site&amp;utm_medium=GoogleMerchant&amp;utm_campaign=GoogleMerchant&amp;gclid=Cj0KCQjww4-hBhCtARIsAC9gR3aFbSuCFkYwWc6cmfXO1S_CZMkAYYS8RNIr1KjcRTJJgfPb8RvmRwcaApomEALw_wcB" TargetMode="External"/><Relationship Id="rId542" Type="http://schemas.openxmlformats.org/officeDocument/2006/relationships/hyperlink" Target="https://sipac.sig.ufal.br/sipac/visualizaMaterial.do?popup=true&amp;id=23628&amp;acao=12" TargetMode="External"/><Relationship Id="rId543" Type="http://schemas.openxmlformats.org/officeDocument/2006/relationships/hyperlink" Target="https://www.lojasynth.com/reagentes-analiticosmaterias-primas/reagentes-analiticosmaterias-primas/molibdato-de-amonio-4h2o-p-a-a-c-s?parceiro=2827&amp;variant_id=302683&amp;gclid=Cj0KCQjwtsCgBhDEARIsAE7RYh222wbhEXgcHVJ_9sXLvZLJNmDBaiE8bO-Yycim3FEPGUeqB4lptSYaAoj2" TargetMode="External"/><Relationship Id="rId544" Type="http://schemas.openxmlformats.org/officeDocument/2006/relationships/hyperlink" Target="https://www.glasslab.com.br/reagentes-e-meios/molibdato-de-amonio-4h2o-pa-acs-100g?parceiro=6858&amp;gclid=Cj0KCQjwtsCgBhDEARIsAE7RYh2MbSRvNlvF6NE36cIIM3UHrVsvzSXpXw9B_4rZHpuBN_HjV0w85usaAo5QEALw_wcB" TargetMode="External"/><Relationship Id="rId545" Type="http://schemas.openxmlformats.org/officeDocument/2006/relationships/hyperlink" Target="https://www.orionprodutoscientificos.com.br/molibdato-de-amonio-4h2o-pa-acs-100g-exodo-cientifica?utm_source=Site&amp;utm_medium=GoogleMerchant&amp;utm_campaign=GoogleMerchant" TargetMode="External"/><Relationship Id="rId546" Type="http://schemas.openxmlformats.org/officeDocument/2006/relationships/hyperlink" Target="https://sipac.sig.ufal.br/sipac/visualizaMaterial.do?popup=true&amp;id=30420&amp;acao=12" TargetMode="External"/><Relationship Id="rId547" Type="http://schemas.openxmlformats.org/officeDocument/2006/relationships/hyperlink" Target="https://www.lojasynth.com/reagentes-analiticosmaterias-primas/reagentes-analiticosmaterias-primas/molibdato-de-sodio-2h2o-p-a-a-c-s?variant_id=301377&amp;parceiro=2827" TargetMode="External"/><Relationship Id="rId548" Type="http://schemas.openxmlformats.org/officeDocument/2006/relationships/hyperlink" Target="https://www.glasslab.com.br/reagentes-e-meios/molibdato-de-sodio-2h2o-pa-acs-100g?parceiro=6858&amp;srsltid=Ad5pg_HUzdt-fUjIVxJfo5wBc4B-uF5f5bSYnmn7smjWnLCuuMzqIxC_R-8" TargetMode="External"/><Relationship Id="rId549" Type="http://schemas.openxmlformats.org/officeDocument/2006/relationships/hyperlink" Target="https://www.acsreagentes.com.br/molibdato-de-sodio-2h2o-pa-acs-100g-acs-cientifica" TargetMode="External"/><Relationship Id="rId550" Type="http://schemas.openxmlformats.org/officeDocument/2006/relationships/hyperlink" Target="https://sipac.sig.ufal.br/sipac/visualizaMaterial.do?popup=true&amp;id=23470&amp;acao=12" TargetMode="External"/><Relationship Id="rId551" Type="http://schemas.openxmlformats.org/officeDocument/2006/relationships/hyperlink" Target="https://www.orionprodutoscientificos.com.br/naftaleno-p-s-500-g-fabricante-neon?utm_source=Site&amp;utm_medium=GoogleMerchant&amp;utm_campaign=GoogleMerchant" TargetMode="External"/><Relationship Id="rId552" Type="http://schemas.openxmlformats.org/officeDocument/2006/relationships/hyperlink" Target="https://www.didaticasp.com.br/naftaleno-ps-500g" TargetMode="External"/><Relationship Id="rId553" Type="http://schemas.openxmlformats.org/officeDocument/2006/relationships/hyperlink" Target="https://www.labimport.com.br/reagentes/naftalina/naftalina-naftaleno-ps-500g-12111" TargetMode="External"/><Relationship Id="rId554" Type="http://schemas.openxmlformats.org/officeDocument/2006/relationships/hyperlink" Target="https://sipac.sig.ufal.br/sipac/visualizaMaterial.do?popup=true&amp;id=24767&amp;acao=12" TargetMode="External"/><Relationship Id="rId555" Type="http://schemas.openxmlformats.org/officeDocument/2006/relationships/hyperlink" Target="https://www.orionprodutoscientificos.com.br/1-naftilamina-p-a-100-g-fabricante-neon?utm_source=Site&amp;utm_medium=GoogleMerchant&amp;utm_campaign=GoogleMerchant" TargetMode="External"/><Relationship Id="rId556" Type="http://schemas.openxmlformats.org/officeDocument/2006/relationships/hyperlink" Target="https://www.acsreagentes.com.br/naftilamina-alfa-extra-puro-100g-acs-cientifica?utm_source=Site&amp;utm_medium=GoogleMerchant&amp;utm_campaign=GoogleMerchant" TargetMode="External"/><Relationship Id="rId557" Type="http://schemas.openxmlformats.org/officeDocument/2006/relationships/hyperlink" Target="https://ludwigbiotec.com.br/loja/produto/1-naftilamina-p-a-100-g/463" TargetMode="External"/><Relationship Id="rId558" Type="http://schemas.openxmlformats.org/officeDocument/2006/relationships/hyperlink" Target="https://sipac.sig.ufal.br/sipac/visualizaMaterial.do?popup=true&amp;id=30781&amp;acao=12" TargetMode="External"/><Relationship Id="rId559" Type="http://schemas.openxmlformats.org/officeDocument/2006/relationships/hyperlink" Target="https://www.glasslab.com.br/reagentes-e-meios/nitrato-de-aluminio-9h2o-pa-acs-500g?parceiro=6858&amp;srsltid=Ad5pg_FdueO6-CdcAojUYA_hKU1kFgnCytZgBArp6yTq5EPaXLzv85IgzIM" TargetMode="External"/><Relationship Id="rId560" Type="http://schemas.openxmlformats.org/officeDocument/2006/relationships/hyperlink" Target="https://www.orionprodutoscientificos.com.br/nitrato-de-aluminio-nonahidratado-p-a-1000-g-fabricante-neon?utm_source=Site&amp;utm_medium=GoogleMerchant&amp;utm_campaign=GoogleMerchant" TargetMode="External"/><Relationship Id="rId561" Type="http://schemas.openxmlformats.org/officeDocument/2006/relationships/hyperlink" Target="https://www.lojaprolab.com.br/nitrato-de-aluminio-9h2o-pa-acs-79385" TargetMode="External"/><Relationship Id="rId562" Type="http://schemas.openxmlformats.org/officeDocument/2006/relationships/hyperlink" Target="https://sipac.sig.ufal.br/sipac/visualizaMaterial.do?popup=true&amp;id=205&amp;acao=12" TargetMode="External"/><Relationship Id="rId563" Type="http://schemas.openxmlformats.org/officeDocument/2006/relationships/hyperlink" Target="https://sipac.sig.ufal.br/sipac/visualizaMaterial.do?popup=true&amp;id=30782&amp;acao=12" TargetMode="External"/><Relationship Id="rId564" Type="http://schemas.openxmlformats.org/officeDocument/2006/relationships/hyperlink" Target="https://www.orionprodutoscientificos.com.br/nitrato-de-calcio-4h2o-pa-acs-500g-exodo-cientifica?utm_source=Site&amp;utm_medium=GoogleMerchant&amp;utm_campaign=GoogleMerchant" TargetMode="External"/><Relationship Id="rId565" Type="http://schemas.openxmlformats.org/officeDocument/2006/relationships/hyperlink" Target="https://www.glasslab.com.br/reagentes-e-meios/nitrato-de-calcio-4h2o-pa-acs-500g?parceiro=6858&amp;srsltid=Ad5pg_EzvMTysP1xvAtvjLDirs419MTCyS4hHIaL6t8LhK31MkXVmF2av7E" TargetMode="External"/><Relationship Id="rId566" Type="http://schemas.openxmlformats.org/officeDocument/2006/relationships/hyperlink" Target="https://www.lojaprolab.com.br/nitrato-de-calcio-4h2o-pa-79389" TargetMode="External"/><Relationship Id="rId567" Type="http://schemas.openxmlformats.org/officeDocument/2006/relationships/hyperlink" Target="https://sipac.sig.ufal.br/sipac/visualizaMaterial.do?popup=true&amp;id=4169&amp;acao=12" TargetMode="External"/><Relationship Id="rId568" Type="http://schemas.openxmlformats.org/officeDocument/2006/relationships/hyperlink" Target="https://www.acsreagentes.com.br/nitrato-de-ferro-iii-ico-9h2o-pa-acs-100g-acs-cientifica?utm_source=Site&amp;utm_medium=GoogleMerchant&amp;utm_campaign=GoogleMerchant" TargetMode="External"/><Relationship Id="rId569" Type="http://schemas.openxmlformats.org/officeDocument/2006/relationships/hyperlink" Target="https://www.orionprodutoscientificos.com.br/nitrato-de-ferro-iii-ico-9h2o-pa-acs-500g-exodo-cientifica?utm_source=Site&amp;utm_medium=GoogleMerchant&amp;utm_campaign=GoogleMerchant" TargetMode="External"/><Relationship Id="rId570" Type="http://schemas.openxmlformats.org/officeDocument/2006/relationships/hyperlink" Target="https://www.glasslab.com.br/reagentes-e-meios/nitrato-de-ferro-iii-ico-9h2o-pa-acs-500g?parceiro=6858&amp;srsltid=Ad5pg_GKsniZI2hwNoiC5mzOYZ-lB_DRrdEvamsJpgMYo75jY_ajGVElsNU" TargetMode="External"/><Relationship Id="rId571" Type="http://schemas.openxmlformats.org/officeDocument/2006/relationships/hyperlink" Target="https://sipac.sig.ufal.br/sipac/visualizaMaterial.do?popup=true&amp;id=23490&amp;acao=12" TargetMode="External"/><Relationship Id="rId572" Type="http://schemas.openxmlformats.org/officeDocument/2006/relationships/hyperlink" Target="https://www.lojaprolab.com.br/nitrato-de-magnesio-6h2o-pa-acs-79398" TargetMode="External"/><Relationship Id="rId573" Type="http://schemas.openxmlformats.org/officeDocument/2006/relationships/hyperlink" Target="https://www.glasslab.com.br/reagentes-e-meios/nitrato-de-magnesio-6h2o-pa-acs-500g?parceiro=6858&amp;gclid=Cj0KCQjwtsCgBhDEARIsAE7RYh3S3CCs_47eXkIVx-ySQOXb6sMEzBpzFj9gwUAkumU_3-W7h7KTe90aAqKFEALw_wcB" TargetMode="External"/><Relationship Id="rId574" Type="http://schemas.openxmlformats.org/officeDocument/2006/relationships/hyperlink" Target="https://www.orionprodutoscientificos.com.br/nitrato-de-magnesio-6h2o-pa-acs-500g-exodo-cientifica?utm_source=Site&amp;utm_medium=GoogleMerchant&amp;utm_campaign=GoogleMerchant" TargetMode="External"/><Relationship Id="rId575" Type="http://schemas.openxmlformats.org/officeDocument/2006/relationships/hyperlink" Target="https://sipac.sig.ufal.br/sipac/visualizaMaterial.do?popup=true&amp;id=23494&amp;acao=12" TargetMode="External"/><Relationship Id="rId576" Type="http://schemas.openxmlformats.org/officeDocument/2006/relationships/hyperlink" Target="https://www.glasslab.com.br/reagentes-e-meios/nitrato-de-potassio-pa-500g" TargetMode="External"/><Relationship Id="rId577" Type="http://schemas.openxmlformats.org/officeDocument/2006/relationships/hyperlink" Target="https://sipac.sig.ufal.br/sipac/visualizaMaterial.do?popup=true&amp;id=23501&amp;acao=12" TargetMode="External"/><Relationship Id="rId578" Type="http://schemas.openxmlformats.org/officeDocument/2006/relationships/hyperlink" Target="https://www.biomedh.com.br/004687/nitrato-de-prata-pa--50gr.html" TargetMode="External"/><Relationship Id="rId579" Type="http://schemas.openxmlformats.org/officeDocument/2006/relationships/hyperlink" Target="https://www.acsreagentes.com.br/nitrato-de-prata-pa-acs-25g-acs-cientifica?gclid=Cj0KCQjwtsCgBhDEARIsAE7RYh3-BG2JFE6PN8RBOvbk0kacc2TBJgBjtsCUgKQtlf4aLOJRg4HjOaEaAkP4EALw_wcB" TargetMode="External"/><Relationship Id="rId580" Type="http://schemas.openxmlformats.org/officeDocument/2006/relationships/hyperlink" Target="https://www.labimport.com.br/reagentes/nitrato/nitrato-de-prata-pa-acs-25g" TargetMode="External"/><Relationship Id="rId581" Type="http://schemas.openxmlformats.org/officeDocument/2006/relationships/hyperlink" Target="https://sipac.sig.ufal.br/sipac/visualizaMaterial.do?popup=true&amp;id=23505&amp;acao=12" TargetMode="External"/><Relationship Id="rId582" Type="http://schemas.openxmlformats.org/officeDocument/2006/relationships/hyperlink" Target="https://www.acsreagentes.com.br/nitrato-de-sodio-pa-500g-acs-cientifica?utm_source=Site&amp;utm_medium=GoogleMerchant&amp;utm_campaign=GoogleMerchant&amp;gclid=Cj0KCQjwtsCgBhDEARIsAE7RYh2ua9fcoEEtwFv_aQdMuFr9KP__NHvDpZVTRgS7hIwWs3Ak77oa0C8aAq-GEALw_wcB" TargetMode="External"/><Relationship Id="rId583" Type="http://schemas.openxmlformats.org/officeDocument/2006/relationships/hyperlink" Target="https://www.glasslab.com.br/reagentes-e-meios/nitrato-de-sodio-pa-500g?parceiro=6858&amp;gclid=Cj0KCQjwtsCgBhDEARIsAE7RYh1X65PwVEUs3Vxk0lsnsinZLJdVwCrs9hDuC0aNH5KWKR9n1dWt_0EaAjsTEALw_wcB" TargetMode="External"/><Relationship Id="rId584" Type="http://schemas.openxmlformats.org/officeDocument/2006/relationships/hyperlink" Target="https://www.lojaprolab.com.br/nitrato-de-sodio-pa-acs-79401" TargetMode="External"/><Relationship Id="rId585" Type="http://schemas.openxmlformats.org/officeDocument/2006/relationships/hyperlink" Target="https://sipac.sig.ufal.br/sipac/visualizaMaterial.do?popup=true&amp;id=23508&amp;acao=12" TargetMode="External"/><Relationship Id="rId586" Type="http://schemas.openxmlformats.org/officeDocument/2006/relationships/hyperlink" Target="https://www.acsreagentes.com.br/nitrato-de-zinco-pa-500g-acs-cientifica?gclid=Cj0KCQjwtsCgBhDEARIsAE7RYh3C8kpquETM_5AmKuLW-mWf4jnnhqRaEFl0Dsa89VXWxucujUFbWhAaAgxfEALw_wcB" TargetMode="External"/><Relationship Id="rId587" Type="http://schemas.openxmlformats.org/officeDocument/2006/relationships/hyperlink" Target="https://www.glasslab.com.br/reagentes-e-meios/nitrato-de-zinco-6h2o-pa-500g?parceiro=6858&amp;gclid=Cj0KCQjwtsCgBhDEARIsAE7RYh2zv2wVJzJ-NQ4ECAVOKiY2o6zUY4-750dNb5ggYRChT4rudIvZInMaAm8-EALw_wcB" TargetMode="External"/><Relationship Id="rId588" Type="http://schemas.openxmlformats.org/officeDocument/2006/relationships/hyperlink" Target="https://www.didaticasp.com.br/nitrato-de-zinco-6h2o-pa-500g" TargetMode="External"/><Relationship Id="rId589" Type="http://schemas.openxmlformats.org/officeDocument/2006/relationships/hyperlink" Target="https://sipac.sig.ufal.br/sipac/visualizaMaterial.do?popup=true&amp;id=28155&amp;acao=12" TargetMode="External"/><Relationship Id="rId590" Type="http://schemas.openxmlformats.org/officeDocument/2006/relationships/hyperlink" Target="https://www.cofermeta.com.br/lubrificacao/lubrificantes/oleo-lubrificante-iso-vg46-500ml-para-bomba-vacuo-suryha?parceiro=9290&amp;parceiro=1319&amp;gclid=Cj0KCQjw2v-gBhC1ARIsAOQdKY0G4Zd3crJoXowlWvcq8AKlDNaSfL_kiADFUvNJ99_GM-HRR7AnYicaApsEEALw_wcB" TargetMode="External"/><Relationship Id="rId591" Type="http://schemas.openxmlformats.org/officeDocument/2006/relationships/hyperlink" Target="https://www.refrigeracaocatavento.com.br/oleo-bomba-de-vacuo-iso-vg-46-montreal?parceiro=6374" TargetMode="External"/><Relationship Id="rId592" Type="http://schemas.openxmlformats.org/officeDocument/2006/relationships/hyperlink" Target="https://sardanharefrigeracao.com.br/produto/oleo-montreal-para-bomba-de-vacuo-champ-rf-iso-vg-46/?utm_source=Google%20Shopping&amp;utm_campaign=AdsGoogle-Sardanha&amp;utm_medium=cpc&amp;utm_term=1025&amp;gclid=Cj0KCQjwtsCgBhDEARIsAE7RYh2GzSR17V5dR685RidDCTgbzxJKu_6HokVjQ" TargetMode="External"/><Relationship Id="rId593" Type="http://schemas.openxmlformats.org/officeDocument/2006/relationships/hyperlink" Target="https://sipac.sig.ufal.br/sipac/visualizaMaterial.do?popup=true&amp;id=23706&amp;acao=12" TargetMode="External"/><Relationship Id="rId594" Type="http://schemas.openxmlformats.org/officeDocument/2006/relationships/hyperlink" Target="https://www.mmcomercio.net.br/produto/oleo-pimersao-pmicroscopia-100ml-laborclin.html?utm_source=Site&amp;utm_medium=GoogleMerchant&amp;utm_campaign=GoogleMerchant&amp;gclid=Cj0KCQjwtsCgBhDEARIsAE7RYh2B2IaRZ9ZHdlSmVlGcWTv2F4cBFnyWnQ-UW8ls4KurC8GdOjCgWQAaAnjNEALw_wcB" TargetMode="External"/><Relationship Id="rId595" Type="http://schemas.openxmlformats.org/officeDocument/2006/relationships/hyperlink" Target="https://www.lojaprlabor.com.br/produtos/oleo-de-imersao-100ml/?pf=gs&amp;variant=344389914" TargetMode="External"/><Relationship Id="rId596" Type="http://schemas.openxmlformats.org/officeDocument/2006/relationships/hyperlink" Target="https://www.vitchlab.com.br/acessorios/produtos-novos/oleo-de-imersao-100ml-p-10-0777-003-00-72-vitchlab?parceiro=7632&amp;srsltid=Ad5pg_EkTZ2aGVnJBPtZ4AGbPfcWzLLYMo_7xWxSMcR22uM4mWWhL2JLAew" TargetMode="External"/><Relationship Id="rId597" Type="http://schemas.openxmlformats.org/officeDocument/2006/relationships/hyperlink" Target="https://sipac.sig.ufal.br/sipac/visualizaMaterial.do?popup=true&amp;id=28154&amp;acao=12" TargetMode="External"/><Relationship Id="rId598" Type="http://schemas.openxmlformats.org/officeDocument/2006/relationships/hyperlink" Target="https://www.multifrioshop.com/refrigeracao-comercial/oleos/oleo-mineral-para-bomba-de-vacuo-iso-vg-46-montreal-1-litro?parceiro=2316&amp;gclid=Cj0KCQjw2v-gBhC1ARIsAOQdKY2UYOZuetSDeiF5nswMSVMAYCeaqHXv0kkJN4Ow20TOsY5Gh1xH4MwaAlBsEALw_wcB" TargetMode="External"/><Relationship Id="rId599" Type="http://schemas.openxmlformats.org/officeDocument/2006/relationships/hyperlink" Target="https://www.difusor.com.br/oleo-para-bomba-de-vacuo?utm_source=Site&amp;utm_medium=GoogleMerchant&amp;utm_campaign=GoogleMerchant&amp;gclid=Cj0KCQjwtsCgBhDEARIsAE7RYh1q7As2w78dO7mmWRUPAqtSJ_WeVcgB_lD5eVO035-8a3Y-S66gbsUaArtmEALw_wcB" TargetMode="External"/><Relationship Id="rId600" Type="http://schemas.openxmlformats.org/officeDocument/2006/relationships/hyperlink" Target="https://www.refrigeracaocatavento.com.br/oleo-bomba-vacuo-iso32-500ml-suryha?parceiro=6374" TargetMode="External"/><Relationship Id="rId601" Type="http://schemas.openxmlformats.org/officeDocument/2006/relationships/hyperlink" Target="https://sipac.sig.ufal.br/sipac/visualizaMaterial.do?popup=true&amp;id=23711&amp;acao=12" TargetMode="External"/><Relationship Id="rId602" Type="http://schemas.openxmlformats.org/officeDocument/2006/relationships/hyperlink" Target="https://www.lojaprolab.com.br/oxalato-de-sodio-pa-acs-79427" TargetMode="External"/><Relationship Id="rId603" Type="http://schemas.openxmlformats.org/officeDocument/2006/relationships/hyperlink" Target="https://www.biomedh.com.br/007477/oxalato-de-sodio-pa-acs-500gr.html" TargetMode="External"/><Relationship Id="rId604" Type="http://schemas.openxmlformats.org/officeDocument/2006/relationships/hyperlink" Target="https://www.glasslab.com.br/reagentes-e-meios/oxalato-de-sodio-pa-acs-500g" TargetMode="External"/><Relationship Id="rId605" Type="http://schemas.openxmlformats.org/officeDocument/2006/relationships/hyperlink" Target="https://sipac.sig.ufal.br/sipac/visualizaMaterial.do?popup=true&amp;id=30422&amp;acao=12" TargetMode="External"/><Relationship Id="rId606" Type="http://schemas.openxmlformats.org/officeDocument/2006/relationships/hyperlink" Target="https://www.glasslab.com.br/reagentes-e-meios/oxido-de-aluminio-alumina-pa-500g?parceiro=6858&amp;gclid=Cj0KCQjwtsCgBhDEARIsAE7RYh1ugCVCGwE1rZesy8LRpSxVPQSzkIFKCZ9_BecmzoaXekI0sn9jRxUaAlG4EALw_wcB" TargetMode="External"/><Relationship Id="rId607" Type="http://schemas.openxmlformats.org/officeDocument/2006/relationships/hyperlink" Target="https://www.orionprodutoscientificos.com.br/oxido-de-aluminio-pa-500g-exodo-cientifica?utm_source=Site&amp;utm_medium=GoogleMerchant&amp;utm_campaign=GoogleMerchant" TargetMode="External"/><Relationship Id="rId608" Type="http://schemas.openxmlformats.org/officeDocument/2006/relationships/hyperlink" Target="https://www.lojaprolab.com.br/oxido-de-aluminio-pa-79429" TargetMode="External"/><Relationship Id="rId609" Type="http://schemas.openxmlformats.org/officeDocument/2006/relationships/hyperlink" Target="https://sipac.sig.ufal.br/sipac/visualizaMaterial.do?popup=true&amp;id=23714&amp;acao=12" TargetMode="External"/><Relationship Id="rId610" Type="http://schemas.openxmlformats.org/officeDocument/2006/relationships/hyperlink" Target="https://www.acsreagentes.com.br/oxido-de-calcio-pa-500g-acs-cientifica?gclid=Cj0KCQjwtsCgBhDEARIsAE7RYh3C7f_z1Tc9dcxI-hBOzQniAhLBCkOzl1nOmiaCM8fIYwWEehQog48aAqkMEALw_wcB" TargetMode="External"/><Relationship Id="rId611" Type="http://schemas.openxmlformats.org/officeDocument/2006/relationships/hyperlink" Target="https://www.didaticasp.com.br/oxido-de-calcio-pa-500g" TargetMode="External"/><Relationship Id="rId612" Type="http://schemas.openxmlformats.org/officeDocument/2006/relationships/hyperlink" Target="https://www.lojaprolab.com.br/oxido-de-calcio-pa-79434" TargetMode="External"/><Relationship Id="rId613" Type="http://schemas.openxmlformats.org/officeDocument/2006/relationships/hyperlink" Target="https://sipac.sig.ufal.br/sipac/visualizaMaterial.do?popup=true&amp;id=30423&amp;acao=12" TargetMode="External"/><Relationship Id="rId614" Type="http://schemas.openxmlformats.org/officeDocument/2006/relationships/hyperlink" Target="https://www.acsreagentes.com.br/oxido-de-cobre-iiico-preto-em-po-pa-500g-acs-cientifica?utm_source=Site&amp;utm_medium=GoogleMerchant&amp;utm_campaign=GoogleMerchant&amp;gclid=Cj0KCQjwtsCgBhDEARIsAE7RYh0X2M9hLhesKYkf6MQnutde61a0DKRlqdKzyDOyf_m1qrazzJx8lSUaAnCjEALw_wc" TargetMode="External"/><Relationship Id="rId615" Type="http://schemas.openxmlformats.org/officeDocument/2006/relationships/hyperlink" Target="https://www.glasslab.com.br/reagentes-e-meios/oxido-de-cobre-ii-ico-pa-500g?parceiro=6858&amp;gclid=Cj0KCQjwtsCgBhDEARIsAE7RYh2c4hYD42qc9tE82Fj_EYKW3gUXQ3FQoQ55yUu4Vv74EujCUWrBf6AaAguLEALw_wcB" TargetMode="External"/><Relationship Id="rId616" Type="http://schemas.openxmlformats.org/officeDocument/2006/relationships/hyperlink" Target="https://www.didaticasp.com.br/oxido-de-cobre-ii-ico-pa-500g" TargetMode="External"/><Relationship Id="rId617" Type="http://schemas.openxmlformats.org/officeDocument/2006/relationships/hyperlink" Target="https://sipac.sig.ufal.br/sipac/visualizaMaterial.do?popup=true&amp;id=24917&amp;acao=12" TargetMode="External"/><Relationship Id="rId618" Type="http://schemas.openxmlformats.org/officeDocument/2006/relationships/hyperlink" Target="https://www.orionprodutoscientificos.com.br/oxido-de-manganes-iv-90-95-po-pa-bioxido-500g-exodo-cientifica?utm_source=Site&amp;utm_medium=GoogleMerchant&amp;utm_campaign=GoogleMerchant" TargetMode="External"/><Relationship Id="rId619" Type="http://schemas.openxmlformats.org/officeDocument/2006/relationships/hyperlink" Target="https://sipac.sig.ufal.br/sipac/visualizaMaterial.do?popup=true&amp;id=25868&amp;acao=12" TargetMode="External"/><Relationship Id="rId620" Type="http://schemas.openxmlformats.org/officeDocument/2006/relationships/hyperlink" Target="https://www.lojanetlab.com.br/reagentes/pa/oxido-de-ferro-iii-ico-pa" TargetMode="External"/><Relationship Id="rId621" Type="http://schemas.openxmlformats.org/officeDocument/2006/relationships/hyperlink" Target="https://www.lojaprolab.com.br/oxido-de-ferro-iii-ico-pa-79442" TargetMode="External"/><Relationship Id="rId622" Type="http://schemas.openxmlformats.org/officeDocument/2006/relationships/hyperlink" Target="https://www.didaticasp.com.br/oxido-de-ferro-iii-ico-pa-100g" TargetMode="External"/><Relationship Id="rId623" Type="http://schemas.openxmlformats.org/officeDocument/2006/relationships/hyperlink" Target="https://sipac.sig.ufal.br/sipac/visualizaMaterial.do?popup=true&amp;id=30424&amp;acao=12" TargetMode="External"/><Relationship Id="rId624" Type="http://schemas.openxmlformats.org/officeDocument/2006/relationships/hyperlink" Target="https://www.orionprodutoscientificos.com.br/oxido-de-manganes-iv-90-95-po-pa-bioxido-500g-exodo-cientifica?utm_source=Site&amp;utm_medium=GoogleMerchant&amp;utm_campaign=GoogleMerchant" TargetMode="External"/><Relationship Id="rId625" Type="http://schemas.openxmlformats.org/officeDocument/2006/relationships/hyperlink" Target="https://www.glasslab.com.br/reagentes-e-meios/oxido-de-manganes-iv-90-95-pa-500g?parceiro=6858&amp;srsltid=Ad5pg_EdoQzmIjgZleYb_BdXO51ZdEgWktIBijTDy-NdHWKYDkw0kQyokxk" TargetMode="External"/><Relationship Id="rId626" Type="http://schemas.openxmlformats.org/officeDocument/2006/relationships/hyperlink" Target="https://www.labimport.com.br/reagentes/oxido-de-manganes/oxido-de-manganes-iv-90-a-95-pa-bioxido-500g" TargetMode="External"/><Relationship Id="rId627" Type="http://schemas.openxmlformats.org/officeDocument/2006/relationships/hyperlink" Target="https://sipac.sig.ufal.br/sipac/visualizaMaterial.do?popup=true&amp;id=30409&amp;acao=12" TargetMode="External"/><Relationship Id="rId628" Type="http://schemas.openxmlformats.org/officeDocument/2006/relationships/hyperlink" Target="https://sipac.sig.ufal.br/sipac/visualizaMaterial.do?popup=true&amp;id=30408&amp;acao=12" TargetMode="External"/><Relationship Id="rId629" Type="http://schemas.openxmlformats.org/officeDocument/2006/relationships/hyperlink" Target="https://sipac.sig.ufal.br/sipac/visualizaMaterial.do?popup=true&amp;id=30407&amp;acao=12" TargetMode="External"/><Relationship Id="rId630" Type="http://schemas.openxmlformats.org/officeDocument/2006/relationships/hyperlink" Target="https://www.pro-analise.com.br/padrao-cor-platina-cobalto_1002460250-Merck" TargetMode="External"/><Relationship Id="rId631" Type="http://schemas.openxmlformats.org/officeDocument/2006/relationships/hyperlink" Target="https://sipac.sig.ufal.br/sipac/visualizaMaterial.do?popup=true&amp;id=24914&amp;acao=12" TargetMode="External"/><Relationship Id="rId632" Type="http://schemas.openxmlformats.org/officeDocument/2006/relationships/hyperlink" Target="https://www.acsreagentes.com.br/pancreatina-pa-500g-acs-cientifica?utm_source=Site&amp;utm_medium=GoogleMerchant&amp;utm_campaign=GoogleMerchant&amp;gclid=Cj0KCQjw2cWgBhDYARIsALggUhrhNCRoqIfqvJdIrJvbc9vzULAduNDv9Fnr5uDnuJ9OZhgoMo_Zh7EaArC9EALw_wcB" TargetMode="External"/><Relationship Id="rId633" Type="http://schemas.openxmlformats.org/officeDocument/2006/relationships/hyperlink" Target="https://www.glasslab.com.br/reagentes-e-meios/pancreatina-pa-500g?parceiro=6858&amp;gclid=Cj0KCQjw2cWgBhDYARIsALggUhpBjUQvQVkbDeCs1iGFLk3mhQBDxrh_PU3hoeYuHm_OrPTHKrcZUQYaAgyuEALw_wcB" TargetMode="External"/><Relationship Id="rId634" Type="http://schemas.openxmlformats.org/officeDocument/2006/relationships/hyperlink" Target="https://sipac.sig.ufal.br/sipac/visualizaMaterial.do?popup=true&amp;id=23754&amp;acao=12" TargetMode="External"/><Relationship Id="rId635" Type="http://schemas.openxmlformats.org/officeDocument/2006/relationships/hyperlink" Target="https://www.orionprodutoscientificos.com.br/parafina-histologica-58-62-1kg-exodo-cientifica?utm_source=Site&amp;utm_medium=GoogleMerchant&amp;utm_campaign=GoogleMerchant" TargetMode="External"/><Relationship Id="rId636" Type="http://schemas.openxmlformats.org/officeDocument/2006/relationships/hyperlink" Target="https://www.lojasynth.com/reagentes-analiticosmaterias-primas/reagentes-analiticosmaterias-primas/parafina-histologica-56-58-c?parceiro=2827&amp;variant_id=301297" TargetMode="External"/><Relationship Id="rId637" Type="http://schemas.openxmlformats.org/officeDocument/2006/relationships/hyperlink" Target="https://www.lojanetlab.com.br/reagentes/pa/parafina-histologica-56-58c-500g" TargetMode="External"/><Relationship Id="rId638" Type="http://schemas.openxmlformats.org/officeDocument/2006/relationships/hyperlink" Target="https://sipac.sig.ufal.br/sipac/visualizaMaterial.do?popup=true&amp;id=23822&amp;acao=12" TargetMode="External"/><Relationship Id="rId639" Type="http://schemas.openxmlformats.org/officeDocument/2006/relationships/hyperlink" Target="https://www.glasslab.com.br/reagentes-e-meios/permanganato-de-potassio-pa-acs-1kg?parceiro=6858&amp;gclid=Cj0KCQjw2cWgBhDYARIsALggUhpthQEvGFT3PXS2k6hVsOS6RPOkpJuD8Gt_5c3NxEnVDzNEztneWfUaAoiYEALw_wcB" TargetMode="External"/><Relationship Id="rId640" Type="http://schemas.openxmlformats.org/officeDocument/2006/relationships/hyperlink" Target="http://www.orbitallab.com.br/permanganato-de-potassio-pa-acs-(produto-controlado-pela-policia-federal)-2089" TargetMode="External"/><Relationship Id="rId641" Type="http://schemas.openxmlformats.org/officeDocument/2006/relationships/hyperlink" Target="https://sipac.sig.ufal.br/sipac/visualizaMaterial.do?popup=true&amp;id=23825&amp;acao=12" TargetMode="External"/><Relationship Id="rId642" Type="http://schemas.openxmlformats.org/officeDocument/2006/relationships/hyperlink" Target="https://www.acsreagentes.com.br/peroxido-de-hidrogenio-50-200-vol-agua-oxigenada-pa-1l-acs-cientifica?utm_source=Site&amp;utm_medium=GoogleMerchant&amp;utm_campaign=GoogleMerchant" TargetMode="External"/><Relationship Id="rId643" Type="http://schemas.openxmlformats.org/officeDocument/2006/relationships/hyperlink" Target="https://www.biomedh.com.br/007116/peroxido-de-hidrogenio-50-200vol-1000ml.html" TargetMode="External"/><Relationship Id="rId644" Type="http://schemas.openxmlformats.org/officeDocument/2006/relationships/hyperlink" Target="https://www.glasslab.com.br/reagentes-e-meios/peroxido-de-hidrogenio-50-200v-pa-1l" TargetMode="External"/><Relationship Id="rId645" Type="http://schemas.openxmlformats.org/officeDocument/2006/relationships/hyperlink" Target="https://sipac.sig.ufal.br/sipac/visualizaMaterial.do?popup=true&amp;id=30783&amp;acao=12" TargetMode="External"/><Relationship Id="rId646" Type="http://schemas.openxmlformats.org/officeDocument/2006/relationships/hyperlink" Target="https://www.didaticasp.com.br/pirocatecol-pa-100g" TargetMode="External"/><Relationship Id="rId647" Type="http://schemas.openxmlformats.org/officeDocument/2006/relationships/hyperlink" Target="https://www.lojaprolab.com.br/pirocatecol-pa-pirocatequina-79491" TargetMode="External"/><Relationship Id="rId648" Type="http://schemas.openxmlformats.org/officeDocument/2006/relationships/hyperlink" Target="https://www.labimport.com.br/reagentes/pirocatequina/pirocatecol-pa-pirocatequina-100g" TargetMode="External"/><Relationship Id="rId649" Type="http://schemas.openxmlformats.org/officeDocument/2006/relationships/hyperlink" Target="https://sipac.sig.ufal.br/sipac/visualizaMaterial.do?popup=true&amp;id=25884&amp;acao=12" TargetMode="External"/><Relationship Id="rId650" Type="http://schemas.openxmlformats.org/officeDocument/2006/relationships/hyperlink" Target="https://www.ciruvix.com.br/polietilenoglicol-6000-pa-500g-dinamica" TargetMode="External"/><Relationship Id="rId651" Type="http://schemas.openxmlformats.org/officeDocument/2006/relationships/hyperlink" Target="https://www.lojasynth.com/reagentes-analiticosmaterias-primas/reagentes-analiticosmaterias-primas/polietilenoglicol-6000-peg-polietileno-glicol-pa?variant_id=301356" TargetMode="External"/><Relationship Id="rId652" Type="http://schemas.openxmlformats.org/officeDocument/2006/relationships/hyperlink" Target="https://ludwigbiotec.com.br/loja/produto/polietilenoglicol-6000-1-000-g/1209" TargetMode="External"/><Relationship Id="rId653" Type="http://schemas.openxmlformats.org/officeDocument/2006/relationships/hyperlink" Target="https://sipac.sig.ufal.br/sipac/visualizaMaterial.do?popup=true&amp;id=23482&amp;acao=12" TargetMode="External"/><Relationship Id="rId654" Type="http://schemas.openxmlformats.org/officeDocument/2006/relationships/hyperlink" Target="https://www.glasslab.com.br/reagentes-e-meios/preto-de-eriocromo-t-ci-14645-pa-acs-25g?parceiro=6858&amp;gclid=Cj0KCQjw2cWgBhDYARIsALggUhqEQS5tA36CfNxRfrOHjku7iGZRZmQCW8YZTB_4c2JGAp8uGPTrlQ0aAnFYEALw_wcB" TargetMode="External"/><Relationship Id="rId655" Type="http://schemas.openxmlformats.org/officeDocument/2006/relationships/hyperlink" Target="https://www.acsreagentes.com.br/negropretode-eriocromo-t-eriochrome-black-ci-14645-25g-acs-cientifica?utm_source=Site&amp;utm_medium=GoogleMerchant&amp;utm_campaign=GoogleMerchant" TargetMode="External"/><Relationship Id="rId656" Type="http://schemas.openxmlformats.org/officeDocument/2006/relationships/hyperlink" Target="https://www.laderquimica.com.br/preto-de-eriocromo-t-pa-25g-neon" TargetMode="External"/><Relationship Id="rId657" Type="http://schemas.openxmlformats.org/officeDocument/2006/relationships/hyperlink" Target="https://sipac.sig.ufal.br/sipac/visualizaMaterial.do?popup=true&amp;id=27613&amp;acao=12" TargetMode="External"/><Relationship Id="rId658" Type="http://schemas.openxmlformats.org/officeDocument/2006/relationships/hyperlink" Target="https://www.lojaprolab.com.br/reagente-de-bradford-pronto-para-uso-frasco-500ml-90911?utm_source=google&amp;utm_medium=feed&amp;utm_campaign=shopping&amp;gclid=Cj0KCQjw2cWgBhDYARIsALggUho-eScbLSKBCC_yTjEm0qLj5GVyvR23pSxBD4t1U6p6vPVKB6VevKYaAjtIEALw_wcB" TargetMode="External"/><Relationship Id="rId659" Type="http://schemas.openxmlformats.org/officeDocument/2006/relationships/hyperlink" Target="https://www.acsreagentes.com.br/reativo-de-bradford-500ml-acs-cientifica?utm_source=Site&amp;utm_medium=GoogleMerchant&amp;utm_campaign=GoogleMerchant&amp;gclid=Cj0KCQjw2cWgBhDYARIsALggUhpV-BgUAjg3qvNve_SnN-e-cJcxoKl7PYODOunLh-lzSOAMSLYp0_AaAg8GEALw_wcB" TargetMode="External"/><Relationship Id="rId660" Type="http://schemas.openxmlformats.org/officeDocument/2006/relationships/hyperlink" Target="https://www.sigmaaldrich.com/BR/pt/product/sigma/b6916" TargetMode="External"/><Relationship Id="rId661" Type="http://schemas.openxmlformats.org/officeDocument/2006/relationships/hyperlink" Target="https://sipac.sig.ufal.br/sipac/visualizaMaterial.do?popup=true&amp;id=28269&amp;acao=12" TargetMode="External"/><Relationship Id="rId662" Type="http://schemas.openxmlformats.org/officeDocument/2006/relationships/hyperlink" Target="https://www.labimport.com.br/reagentes/reativo/reativo-folin-ciocalteau-500ml-12227" TargetMode="External"/><Relationship Id="rId663" Type="http://schemas.openxmlformats.org/officeDocument/2006/relationships/hyperlink" Target="https://www.orionprodutoscientificos.com.br/reativo-folin-ciocalteau-500ml-exodo-cientifica?utm_source=Site&amp;utm_medium=GoogleMerchant&amp;utm_campaign=GoogleMerchant" TargetMode="External"/><Relationship Id="rId664" Type="http://schemas.openxmlformats.org/officeDocument/2006/relationships/hyperlink" Target="https://www.orionprodutoscientificos.com.br/reativo-folin-ciocalteau-500ml-exodo-cientifica?utm_source=Site&amp;utm_medium=GoogleMerchant&amp;utm_campaign=GoogleMerchant" TargetMode="External"/><Relationship Id="rId665" Type="http://schemas.openxmlformats.org/officeDocument/2006/relationships/hyperlink" Target="https://sipac.sig.ufal.br/sipac/visualizaMaterial.do?popup=true&amp;id=25885&amp;acao=12" TargetMode="External"/><Relationship Id="rId666" Type="http://schemas.openxmlformats.org/officeDocument/2006/relationships/hyperlink" Target="https://www.biomedh.com.br/007706/resorcina-resorcinol-pa-100gr.html" TargetMode="External"/><Relationship Id="rId667" Type="http://schemas.openxmlformats.org/officeDocument/2006/relationships/hyperlink" Target="https://www.acsreagentes.com.br/resorcina-resorsinol-pa-100g-acs-cientifica?utm_source=Site&amp;utm_medium=GoogleMerchant&amp;utm_campaign=GoogleMerchant&amp;gclid=Cj0KCQjw2cWgBhDYARIsALggUhqHkkQwrLsDMO7qpUgkQF2imZG55RdXIdhP5UOBr_otQFGWiW8e8ikaAtF-EALw_wcB" TargetMode="External"/><Relationship Id="rId668" Type="http://schemas.openxmlformats.org/officeDocument/2006/relationships/hyperlink" Target="https://www.glasslab.com.br/reagentes-e-meios/resorcina-resorcinol-pa-100g?parceiro=6858&amp;gclid=Cj0KCQjw2cWgBhDYARIsALggUhqrI5hPoKSgTiZ00ZMBoxusSgaEL839IDSie4veAq6TJDtr5FRfMOIaAqgREALw_wcB" TargetMode="External"/><Relationship Id="rId669" Type="http://schemas.openxmlformats.org/officeDocument/2006/relationships/hyperlink" Target="https://sipac.sig.ufal.br/sipac/visualizaMaterial.do?popup=true&amp;id=31010&amp;acao=12" TargetMode="External"/><Relationship Id="rId670" Type="http://schemas.openxmlformats.org/officeDocument/2006/relationships/hyperlink" Target="https://www.thermofisher.com/order/catalog/product/br/pt/AM9780" TargetMode="External"/><Relationship Id="rId671" Type="http://schemas.openxmlformats.org/officeDocument/2006/relationships/hyperlink" Target="https://sipac.sig.ufal.br/sipac/visualizaMaterial.do?popup=true&amp;id=23716&amp;acao=12" TargetMode="External"/><Relationship Id="rId672" Type="http://schemas.openxmlformats.org/officeDocument/2006/relationships/hyperlink" Target="https://www.labimport.com.br/reagentes/sacarose/sacarose-sucrose-pa-acs-1kg-12239" TargetMode="External"/><Relationship Id="rId673" Type="http://schemas.openxmlformats.org/officeDocument/2006/relationships/hyperlink" Target="https://www.glasslab.com.br/reagentes-e-meios/sacarose-sucrose-pa-acs-1kg?parceiro=6858&amp;srsltid=Ad5pg_EJ8PU31zpayRHWFKcsERsaKh6v1N1JVxBePOVVYQtfR_cAD4Nv4nQ" TargetMode="External"/><Relationship Id="rId674" Type="http://schemas.openxmlformats.org/officeDocument/2006/relationships/hyperlink" Target="https://www.orionprodutoscientificos.com.br/sacarose-p-a-1000-g-fabricante-neon-N02087?utm_source=Site&amp;utm_medium=GoogleMerchant&amp;utm_campaign=GoogleMerchant" TargetMode="External"/><Relationship Id="rId675" Type="http://schemas.openxmlformats.org/officeDocument/2006/relationships/hyperlink" Target="https://sipac.sig.ufal.br/sipac/visualizaMaterial.do?popup=true&amp;id=30785&amp;acao=12" TargetMode="External"/><Relationship Id="rId676" Type="http://schemas.openxmlformats.org/officeDocument/2006/relationships/hyperlink" Target="https://sipac.sig.ufal.br/sipac/visualizaMaterial.do?popup=true&amp;id=23712&amp;acao=12" TargetMode="External"/><Relationship Id="rId677" Type="http://schemas.openxmlformats.org/officeDocument/2006/relationships/hyperlink" Target="https://www.orionprodutoscientificos.com.br/safranina-t-p-a-c-i-50240-25-g-fabricante-neon" TargetMode="External"/><Relationship Id="rId678" Type="http://schemas.openxmlformats.org/officeDocument/2006/relationships/hyperlink" Target="https://www.lojanetlab.com.br/reagentes/pa/safranina-ci-50240" TargetMode="External"/><Relationship Id="rId679" Type="http://schemas.openxmlformats.org/officeDocument/2006/relationships/hyperlink" Target="https://www.glasslab.com.br/reagentes-e-meios/safranina-t-ci-50240-25g?parceiro=6858&amp;gclid=Cj0KCQjw2cWgBhDYARIsALggUhrQLfDbbyYXELcjG4QeDSA-2sqSfL3Qxsc8b-T9n8Fw2mGghS025voaAjpXEALw_wcB" TargetMode="External"/><Relationship Id="rId680" Type="http://schemas.openxmlformats.org/officeDocument/2006/relationships/hyperlink" Target="https://sipac.sig.ufal.br/sipac/visualizaMaterial.do?popup=true&amp;id=24899&amp;acao=12" TargetMode="External"/><Relationship Id="rId681" Type="http://schemas.openxmlformats.org/officeDocument/2006/relationships/hyperlink" Target="https://www.glasslab.com.br/reagentes-e-meios/selenito-de-sodio-anidro-pa-100g?parceiro=6858&amp;gclid=Cj0KCQjw2cWgBhDYARIsALggUhrQKcTkpSWj6XCEfdAWvu5rXwgMpFZKLH1FfzaSsAxrNYzV1hVnAjIaAj2CEALw_wcB" TargetMode="External"/><Relationship Id="rId682" Type="http://schemas.openxmlformats.org/officeDocument/2006/relationships/hyperlink" Target="https://www.acsreagentes.com.br/selenito-de-sodio-anidro-pa-100g-acs-cientifica?utm_source=Site&amp;utm_medium=GoogleMerchant&amp;utm_campaign=GoogleMerchant" TargetMode="External"/><Relationship Id="rId683" Type="http://schemas.openxmlformats.org/officeDocument/2006/relationships/hyperlink" Target="https://www.didaticasp.com.br/produto/selenito-de-sodio-anidro-pa-100g-cas-10102-18-8.html" TargetMode="External"/><Relationship Id="rId684" Type="http://schemas.openxmlformats.org/officeDocument/2006/relationships/hyperlink" Target="https://sipac.sig.ufal.br/sipac/visualizaMaterial.do?popup=true&amp;id=23709&amp;acao=12" TargetMode="External"/><Relationship Id="rId685" Type="http://schemas.openxmlformats.org/officeDocument/2006/relationships/hyperlink" Target="https://www.labimport.com.br/reagentes/silicagel/silica-gel-azul-4-a-8mm-pa-500g" TargetMode="External"/><Relationship Id="rId686" Type="http://schemas.openxmlformats.org/officeDocument/2006/relationships/hyperlink" Target="https://www.didaticasp.com.br/silicagel-azul-4-a-8mm-pa-500g" TargetMode="External"/><Relationship Id="rId687" Type="http://schemas.openxmlformats.org/officeDocument/2006/relationships/hyperlink" Target="https://www.laderquimica.com.br/silica-gel-azul-4-a-8mm-pa-500g-neon" TargetMode="External"/><Relationship Id="rId688" Type="http://schemas.openxmlformats.org/officeDocument/2006/relationships/hyperlink" Target="https://sipac.sig.ufal.br/sipac/visualizaMaterial.do?popup=true&amp;id=23707&amp;acao=12" TargetMode="External"/><Relationship Id="rId689" Type="http://schemas.openxmlformats.org/officeDocument/2006/relationships/hyperlink" Target="https://www.didaticasp.com.br/silicato-de-sodio-puro-500g" TargetMode="External"/><Relationship Id="rId690" Type="http://schemas.openxmlformats.org/officeDocument/2006/relationships/hyperlink" Target="https://www.lojaprolab.com.br/silicato-de-sodio-puro-79751" TargetMode="External"/><Relationship Id="rId691" Type="http://schemas.openxmlformats.org/officeDocument/2006/relationships/hyperlink" Target="https://www.orionprodutoscientificos.com.br/silicato-de-sodio-puro-500g-exodo-cientifica?utm_source=Site&amp;utm_medium=GoogleMerchant&amp;utm_campaign=GoogleMerchant" TargetMode="External"/><Relationship Id="rId692" Type="http://schemas.openxmlformats.org/officeDocument/2006/relationships/hyperlink" Target="https://sipac.sig.ufal.br/sipac/visualizaMaterial.do?popup=true&amp;id=30777&amp;acao=12" TargetMode="External"/><Relationship Id="rId693" Type="http://schemas.openxmlformats.org/officeDocument/2006/relationships/hyperlink" Target="https://www.acsreagentes.com.br/azul-de-cresil-brilhante-ci-51010-5g-acs-cientifica?utm_source=Site&amp;utm_medium=GoogleMerchant&amp;utm_campaign=GoogleMerchant&amp;gclid=Cj0KCQiAx6ugBhCcARIsAGNmMbh7GPJCo8wGyXlOfLYl6LBW-YAINRhEwiiYiTb1zf0nEUGod_nSEDEaAlrdEALw_wcB" TargetMode="External"/><Relationship Id="rId694" Type="http://schemas.openxmlformats.org/officeDocument/2006/relationships/hyperlink" Target="https://www.orionprodutoscientificos.com.br/azul-de-cresil-brilhante-c-i-51010-25-g-fabricante-neon" TargetMode="External"/><Relationship Id="rId695" Type="http://schemas.openxmlformats.org/officeDocument/2006/relationships/hyperlink" Target="https://www.glasslab.com.br/reagentes-e-meios/corantes-quimicos/azul-cresil-brilhante-ci-51010-25g?parceiro=6858&amp;srsltid=Ad5pg_GRXlsuXlnjdJO9hX4yJa3vuy4A0VL4NOVnYdJhJXJrfZZyDStvllQ" TargetMode="External"/><Relationship Id="rId696" Type="http://schemas.openxmlformats.org/officeDocument/2006/relationships/hyperlink" Target="https://sipac.sig.ufal.br/sipac/visualizaMaterial.do?popup=true&amp;id=23880&amp;acao=12" TargetMode="External"/><Relationship Id="rId697" Type="http://schemas.openxmlformats.org/officeDocument/2006/relationships/hyperlink" Target="https://www.lojanetlab.com.br/solucao-tampao-buffer-ph-10-00-frasco-de-500ml-dinamica" TargetMode="External"/><Relationship Id="rId698" Type="http://schemas.openxmlformats.org/officeDocument/2006/relationships/hyperlink" Target="https://www.labimport.com.br/reagentes/solucoes/solucao-tampao-buffer-ph-10-00-500ml" TargetMode="External"/><Relationship Id="rId699" Type="http://schemas.openxmlformats.org/officeDocument/2006/relationships/hyperlink" Target="https://www.lojasynth.com/solucoes/solucoes-tampao-e-kcl/solucao-tampao-ph-10-0-buffer" TargetMode="External"/><Relationship Id="rId700" Type="http://schemas.openxmlformats.org/officeDocument/2006/relationships/hyperlink" Target="https://sipac.sig.ufal.br/sipac/visualizaMaterial.do?popup=true&amp;id=23881&amp;acao=12" TargetMode="External"/><Relationship Id="rId701" Type="http://schemas.openxmlformats.org/officeDocument/2006/relationships/hyperlink" Target="https://www.acsreagentes.com.br/solucao-tampao-buffer-ph-300-500ml-acs-cientifica" TargetMode="External"/><Relationship Id="rId702" Type="http://schemas.openxmlformats.org/officeDocument/2006/relationships/hyperlink" Target="https://www.glasslab.com.br/reagentes-e-meios/tampao-buffer-ph-3-00-500ml?parceiro=6858&amp;gclid=Cj0KCQjw2cWgBhDYARIsALggUhr8DtcNO-IDvSRmKA_USozsONmaLacTO6B-Q8rutHFR3FnKVqps1zIaAtAfEALw_wcB" TargetMode="External"/><Relationship Id="rId703" Type="http://schemas.openxmlformats.org/officeDocument/2006/relationships/hyperlink" Target="https://www.didaticasp.com.br/solucao-tampao-ph-300-500ml" TargetMode="External"/><Relationship Id="rId704" Type="http://schemas.openxmlformats.org/officeDocument/2006/relationships/hyperlink" Target="https://sipac.sig.ufal.br/sipac/visualizaMaterial.do?popup=true&amp;id=23882&amp;acao=12" TargetMode="External"/><Relationship Id="rId705" Type="http://schemas.openxmlformats.org/officeDocument/2006/relationships/hyperlink" Target="https://www.mmcomercio.net.br/produto/solucao-tampao-buffer-ph-400-500ml-exodo.html?utm_source=Site&amp;utm_medium=GoogleMerchant&amp;utm_campaign=GoogleMerchant&amp;gclid=Cj0KCQjw2cWgBhDYARIsALggUhqAtrhdut-9KU1PMbgaq3RsDMpx6FOdr2AUwAug1gdV8V-WP0r_AIsaApO_EALw_wcB" TargetMode="External"/><Relationship Id="rId706" Type="http://schemas.openxmlformats.org/officeDocument/2006/relationships/hyperlink" Target="https://www.glasslab.com.br/reagentes-e-meios/tampao-buffer-ph-4-00-500ml?parceiro=6858&amp;gclid=Cj0KCQjw2cWgBhDYARIsALggUhqKYAdJjZ-madJWCalpddmBC9RnzjwhYfaBfuq2R0hecZUi1X_ZbMMaAmyDEALw_wcB" TargetMode="External"/><Relationship Id="rId707" Type="http://schemas.openxmlformats.org/officeDocument/2006/relationships/hyperlink" Target="https://www.quimicenter.com.br/reagentes-para-laboratorios-sol-tampao-10-00-500ml-imbralab?parceiro=2837&amp;gclid=Cj0KCQjw2cWgBhDYARIsALggUhoRdZUUnUVifq8kd3GXYYkr52tYHlhoQMU0UnVhAIQjgtwdUq7UlssaArWrEALw_wcB" TargetMode="External"/><Relationship Id="rId708" Type="http://schemas.openxmlformats.org/officeDocument/2006/relationships/hyperlink" Target="https://sipac.sig.ufal.br/sipac/visualizaMaterial.do?popup=true&amp;id=23701&amp;acao=12" TargetMode="External"/><Relationship Id="rId709" Type="http://schemas.openxmlformats.org/officeDocument/2006/relationships/hyperlink" Target="https://www.lojanetlab.com.br/solucao-tampao-buffer-ph-7-00-frasco-de-500ml-dinamica" TargetMode="External"/><Relationship Id="rId710" Type="http://schemas.openxmlformats.org/officeDocument/2006/relationships/hyperlink" Target="https://www.lojasynth.com/solucoes/solucoes-tampao-e-kcl/solucao-tampao-ph-7-0-buffer" TargetMode="External"/><Relationship Id="rId711" Type="http://schemas.openxmlformats.org/officeDocument/2006/relationships/hyperlink" Target="https://www.labimport.com.br/reagentes/solucoes/solucao-tampao-ph-7-0-buffer-500ml" TargetMode="External"/><Relationship Id="rId712" Type="http://schemas.openxmlformats.org/officeDocument/2006/relationships/hyperlink" Target="https://sipac.sig.ufal.br/sipac/visualizaMaterial.do?popup=true&amp;id=28217&amp;acao=12" TargetMode="External"/><Relationship Id="rId713" Type="http://schemas.openxmlformats.org/officeDocument/2006/relationships/hyperlink" Target="https://www.acsreagentes.com.br/sudan-iii-ci-26100-25g-acs-cientifica" TargetMode="External"/><Relationship Id="rId714" Type="http://schemas.openxmlformats.org/officeDocument/2006/relationships/hyperlink" Target="https://www.lojanetlab.com.br/reagentes/pa/sudam-iii-ci-26100" TargetMode="External"/><Relationship Id="rId715" Type="http://schemas.openxmlformats.org/officeDocument/2006/relationships/hyperlink" Target="https://www.glasslab.com.br/reagentes-e-meios/sudan-iii-ci-26100-25g?parceiro=6858&amp;gclid=Cj0KCQjw2cWgBhDYARIsALggUhrv0dB2Pfh5EOnW7_Ae42hEx-UOmdQXRaMGuyXMFBv39td4BZu0hcwaAr9yEALw_wcB" TargetMode="External"/><Relationship Id="rId716" Type="http://schemas.openxmlformats.org/officeDocument/2006/relationships/hyperlink" Target="https://sipac.sig.ufal.br/sipac/visualizaMaterial.do?popup=true&amp;id=25909&amp;acao=12" TargetMode="External"/><Relationship Id="rId717" Type="http://schemas.openxmlformats.org/officeDocument/2006/relationships/hyperlink" Target="https://www.lojasynth.com/reagentes-analiticosmaterias-primas/reagentes-analiticosmaterias-primas/sulfato-de-aluminio-14-a-18-h2o-p-a-a-c-s?variant_id=301547" TargetMode="External"/><Relationship Id="rId718" Type="http://schemas.openxmlformats.org/officeDocument/2006/relationships/hyperlink" Target="https://www.pro-analise.com.br/reagentes?product_id=6905" TargetMode="External"/><Relationship Id="rId719" Type="http://schemas.openxmlformats.org/officeDocument/2006/relationships/hyperlink" Target="https://www.glasslab.com.br/reagentes-e-meios/sulfato-de-aluminio-14-18h2o-pa-1kg" TargetMode="External"/><Relationship Id="rId720" Type="http://schemas.openxmlformats.org/officeDocument/2006/relationships/hyperlink" Target="https://sipac.sig.ufal.br/sipac/visualizaMaterial.do?popup=true&amp;id=23696&amp;acao=12" TargetMode="External"/><Relationship Id="rId721" Type="http://schemas.openxmlformats.org/officeDocument/2006/relationships/hyperlink" Target="https://www.acsreagentes.com.br/sulfato-de-aluminio-anidro-pa-500g-acs-cientifica" TargetMode="External"/><Relationship Id="rId722" Type="http://schemas.openxmlformats.org/officeDocument/2006/relationships/hyperlink" Target="https://sipac.sig.ufal.br/sipac/visualizaMaterial.do?popup=true&amp;id=23697&amp;acao=12" TargetMode="External"/><Relationship Id="rId723" Type="http://schemas.openxmlformats.org/officeDocument/2006/relationships/hyperlink" Target="https://www.lojasynth.com/reagentes-analiticosmaterias-primas/reagentes-analiticosmaterias-primas/sulfato-de-aluminio-e-potassio-12h2o-p-a-a-c-s-embalagem-500g" TargetMode="External"/><Relationship Id="rId724" Type="http://schemas.openxmlformats.org/officeDocument/2006/relationships/hyperlink" Target="https://www.lojaprolab.com.br/sulfato-de-aluminio-e-potassio-12h2o-pa-acs-79763" TargetMode="External"/><Relationship Id="rId725" Type="http://schemas.openxmlformats.org/officeDocument/2006/relationships/hyperlink" Target="https://ludwigbiotec.com.br/loja/produto/sulfato-de-aluminio-e-potassio-dodecahidratado-p-a-500-g/1273" TargetMode="External"/><Relationship Id="rId726" Type="http://schemas.openxmlformats.org/officeDocument/2006/relationships/hyperlink" Target="https://sipac.sig.ufal.br/sipac/visualizaMaterial.do?popup=true&amp;id=23694&amp;acao=12" TargetMode="External"/><Relationship Id="rId727" Type="http://schemas.openxmlformats.org/officeDocument/2006/relationships/hyperlink" Target="https://www.lojasynth.com/reagentes-analiticosmaterias-primas/reagentes-analiticosmaterias-primas/sulfato-de-amonio-p-a?parceiro=2827&amp;variant_id=303730" TargetMode="External"/><Relationship Id="rId728" Type="http://schemas.openxmlformats.org/officeDocument/2006/relationships/hyperlink" Target="https://www.biomedh.com.br/007515/sulfato-de-amonio-pa-1000gr.html" TargetMode="External"/><Relationship Id="rId729" Type="http://schemas.openxmlformats.org/officeDocument/2006/relationships/hyperlink" Target="https://www.biomedh.com.br/marca/150-exodo/" TargetMode="External"/><Relationship Id="rId730" Type="http://schemas.openxmlformats.org/officeDocument/2006/relationships/hyperlink" Target="https://www.lojanetlab.com.br/sulfato-de-amonio-pa-acs-1000gr-dinamica" TargetMode="External"/><Relationship Id="rId731" Type="http://schemas.openxmlformats.org/officeDocument/2006/relationships/hyperlink" Target="https://sipac.sig.ufal.br/sipac/visualizaMaterial.do?popup=true&amp;id=23693&amp;acao=12" TargetMode="External"/><Relationship Id="rId732" Type="http://schemas.openxmlformats.org/officeDocument/2006/relationships/hyperlink" Target="https://www.glasslab.com.br/reagentes-e-meios/sulfato-de-calcio-2h2o-pa-1kg?parceiro=6858" TargetMode="External"/><Relationship Id="rId733" Type="http://schemas.openxmlformats.org/officeDocument/2006/relationships/hyperlink" Target="https://www.lojasynth.com/reagentes-analiticosmaterias-primas/reagentes-analiticosmaterias-primas/sulfato-de-calcio-2h2o-p-a?variant_id=301086" TargetMode="External"/><Relationship Id="rId734" Type="http://schemas.openxmlformats.org/officeDocument/2006/relationships/hyperlink" Target="http://cnpj.info/15188525000170" TargetMode="External"/><Relationship Id="rId735" Type="http://schemas.openxmlformats.org/officeDocument/2006/relationships/hyperlink" Target="https://www.lojaprlabor.com.br/produtos/sulfato-de-calcio-2h2o-pa-500g/" TargetMode="External"/><Relationship Id="rId736" Type="http://schemas.openxmlformats.org/officeDocument/2006/relationships/hyperlink" Target="https://sipac.sig.ufal.br/sipac/visualizaMaterial.do?popup=true&amp;id=23692&amp;acao=12" TargetMode="External"/><Relationship Id="rId737" Type="http://schemas.openxmlformats.org/officeDocument/2006/relationships/hyperlink" Target="https://www.laderquimica.com.br/sulfato-de-cobre-ii-ico-5h2o-pa-acs-500g-dinamica?utm_source=Site&amp;utm_medium=GoogleMerchant&amp;utm_campaign=GoogleMerchant&amp;srsltid=Ad5pg_G-mR17s65cWsUaIVFYAMkytWrwH6oYCAacqfN3u8QwFBQtZ52dmlo" TargetMode="External"/><Relationship Id="rId738" Type="http://schemas.openxmlformats.org/officeDocument/2006/relationships/hyperlink" Target="https://www.labimport.com.br/reagentes/sulfato-de-cobre/sulfato-de-cobre-ii-ico-5h2o-pa-acs-500g-12297" TargetMode="External"/><Relationship Id="rId739" Type="http://schemas.openxmlformats.org/officeDocument/2006/relationships/hyperlink" Target="https://www.orionprodutoscientificos.com.br/sulfato-de-cobre-ii-ico-5-h2o-pa-acs-500g-exodo-cientifica?utm_source=Site&amp;utm_medium=GoogleMerchant&amp;utm_campaign=GoogleMerchant" TargetMode="External"/><Relationship Id="rId740" Type="http://schemas.openxmlformats.org/officeDocument/2006/relationships/hyperlink" Target="https://sipac.sig.ufal.br/sipac/visualizaMaterial.do?popup=true&amp;id=30786&amp;acao=12" TargetMode="External"/><Relationship Id="rId741" Type="http://schemas.openxmlformats.org/officeDocument/2006/relationships/hyperlink" Target="https://www.orionprodutoscientificos.com.br/sulfato-de-ferro-ii-oso7-h2o-pa-500g-exodo-cientifica?utm_source=Site&amp;utm_medium=GoogleMerchant&amp;utm_campaign=GoogleMerchant" TargetMode="External"/><Relationship Id="rId742" Type="http://schemas.openxmlformats.org/officeDocument/2006/relationships/hyperlink" Target="https://www.lojasynth.com/reagentes-analiticosmaterias-primas/reagentes-analiticosmaterias-primas/sulfato-de-ferro-oso-7h2o-p-a-a-c-s?parceiro=2827&amp;variant_id=301011" TargetMode="External"/><Relationship Id="rId743" Type="http://schemas.openxmlformats.org/officeDocument/2006/relationships/hyperlink" Target="https://www.biomedh.com.br/007702/sulfato-de-ferro-ii-oso-7h2o-pa-acs-500gr.html" TargetMode="External"/><Relationship Id="rId744" Type="http://schemas.openxmlformats.org/officeDocument/2006/relationships/hyperlink" Target="https://sipac.sig.ufal.br/sipac/visualizaMaterial.do?popup=true&amp;id=23687&amp;acao=12" TargetMode="External"/><Relationship Id="rId745" Type="http://schemas.openxmlformats.org/officeDocument/2006/relationships/hyperlink" Target="https://www.biomedh.com.br/007726/sulfato-ferro-ii-oso-e-amonio-6h2o-pa-acs-250gr.html" TargetMode="External"/><Relationship Id="rId746" Type="http://schemas.openxmlformats.org/officeDocument/2006/relationships/hyperlink" Target="https://ludwigbiotec.com.br/loja/produto/sulfato-de-ferro-ii-amoniacal-hexahidratado-p-a-500-g/1297" TargetMode="External"/><Relationship Id="rId747" Type="http://schemas.openxmlformats.org/officeDocument/2006/relationships/hyperlink" Target="https://sipac.sig.ufal.br/sipac/visualizaMaterial.do?popup=true&amp;id=30440&amp;acao=12" TargetMode="External"/><Relationship Id="rId748" Type="http://schemas.openxmlformats.org/officeDocument/2006/relationships/hyperlink" Target="https://www.glasslab.com.br/reagentes-e-meios/sulfato-de-ferro-iii-ico-amon-pa-acs-500g?parceiro=6858&amp;srsltid=Ad5pg_H0m90BAg0Yhkv-Y0IXZVfjYKg_dKXbftARIUJZPxtr_HkmNZyTpZM" TargetMode="External"/><Relationship Id="rId749" Type="http://schemas.openxmlformats.org/officeDocument/2006/relationships/hyperlink" Target="https://www.orionprodutoscientificos.com.br/sulfato-de-ferro-iii-ico-e-amonio12-h2o-ferrico-amoniacal-pa-acs-500g-exodo-cientifica?utm_source=Site&amp;utm_medium=GoogleMerchant&amp;utm_campaign=GoogleMerchant" TargetMode="External"/><Relationship Id="rId750" Type="http://schemas.openxmlformats.org/officeDocument/2006/relationships/hyperlink" Target="https://www.biomedh.com.br/008103/sulfato-de-ferro-3-ico-e-amonio12h2o-pa-acs-500g.html" TargetMode="External"/><Relationship Id="rId751" Type="http://schemas.openxmlformats.org/officeDocument/2006/relationships/hyperlink" Target="https://sipac.sig.ufal.br/sipac/visualizaMaterial.do?popup=true&amp;id=23686&amp;acao=12" TargetMode="External"/><Relationship Id="rId752" Type="http://schemas.openxmlformats.org/officeDocument/2006/relationships/hyperlink" Target="https://perfyltech.mercadoshops.com.br/MLB-2757363482-sulfato-de-magnesio-pa-acs-500g-_JM?gclid=Cj0KCQjwtsCgBhDEARIsAE7RYh3G5tCI6PEYjAv3Axzs2TAVTS2-1LdoZsjw0jlAeaZKJ03N4kxF4eYaAvkzEALw_wcB" TargetMode="External"/><Relationship Id="rId753" Type="http://schemas.openxmlformats.org/officeDocument/2006/relationships/hyperlink" Target="https://www.orionprodutoscientificos.com.br/sulfato-de-magnesio-7h2o-pa-500gr-exodo-cientifica?utm_source=Site&amp;utm_medium=GoogleMerchant&amp;utm_campaign=GoogleMerchant" TargetMode="External"/><Relationship Id="rId754" Type="http://schemas.openxmlformats.org/officeDocument/2006/relationships/hyperlink" Target="https://www.lojaprlabor.com.br/produtos/sulfato-de-magnesio-7h20-pa-acs-frasco-500g/?pf=gs&amp;variant=311100414" TargetMode="External"/><Relationship Id="rId755" Type="http://schemas.openxmlformats.org/officeDocument/2006/relationships/hyperlink" Target="https://sipac.sig.ufal.br/sipac/visualizaMaterial.do?popup=true&amp;id=25899&amp;acao=12" TargetMode="External"/><Relationship Id="rId756" Type="http://schemas.openxmlformats.org/officeDocument/2006/relationships/hyperlink" Target="https://www.glasslab.com.br/reagentes-e-meios/sulfato-de-magnesio-anidro-pa-1kg" TargetMode="External"/><Relationship Id="rId757" Type="http://schemas.openxmlformats.org/officeDocument/2006/relationships/hyperlink" Target="https://www.labimport.com.br/reagentes/sulfato-de-magnesio/sulfato-de-magnesio-anidro-pa-1kg" TargetMode="External"/><Relationship Id="rId758" Type="http://schemas.openxmlformats.org/officeDocument/2006/relationships/hyperlink" Target="https://www.orionprodutoscientificos.com.br/sulfato-de-magnesio-anidro-pa-1kg-exodo-cientifica" TargetMode="External"/><Relationship Id="rId759" Type="http://schemas.openxmlformats.org/officeDocument/2006/relationships/hyperlink" Target="https://sipac.sig.ufal.br/sipac/visualizaMaterial.do?popup=true&amp;id=8839&amp;acao=12" TargetMode="External"/><Relationship Id="rId760" Type="http://schemas.openxmlformats.org/officeDocument/2006/relationships/hyperlink" Target="https://www.glasslab.com.br/reagentes-e-meios/sulfato-de-mercurio-ii-ico-pa-acs-100g" TargetMode="External"/><Relationship Id="rId761" Type="http://schemas.openxmlformats.org/officeDocument/2006/relationships/hyperlink" Target="https://www.didaticasp.com.br/produto/sulfato-de-mercurio-ii-pa-100g-cas-7783-35-9.html" TargetMode="External"/><Relationship Id="rId762" Type="http://schemas.openxmlformats.org/officeDocument/2006/relationships/hyperlink" Target="https://www.acsreagentes.com.br/sulfato-de-mercurio-ii-ico-98-pa-acs-25g-acs-cientifica?utm_source=Site&amp;utm_medium=GoogleMerchant&amp;utm_campaign=GoogleMerchant&amp;gclid=Cj0KCQjwtsCgBhDEARIsAE7RYh3xf6ArgjOXjOw5tIy7qUOvvEEtUyVbs4JnXimpO3K6Zt8SPpf50TIaAqwXEALw_wc" TargetMode="External"/><Relationship Id="rId763" Type="http://schemas.openxmlformats.org/officeDocument/2006/relationships/hyperlink" Target="https://sipac.sig.ufal.br/sipac/visualizaMaterial.do?popup=true&amp;id=23683&amp;acao=12" TargetMode="External"/><Relationship Id="rId764" Type="http://schemas.openxmlformats.org/officeDocument/2006/relationships/hyperlink" Target="https://www.glasslab.com.br/reagentes-e-meios/sulfato-de-potassio-anidro-pa-acs-1kg?parceiro=6858&amp;gclid=Cj0KCQjwtsCgBhDEARIsAE7RYh3dVDr5T6Wgp-rVeCkZHwV9P14nLkyeWCBB04cEUxXCABFlJ52UZ4oaAm9SEALw_wcB" TargetMode="External"/><Relationship Id="rId765" Type="http://schemas.openxmlformats.org/officeDocument/2006/relationships/hyperlink" Target="https://www.lojasynth.com/reagentes-analiticosmaterias-primas/reagentes-analiticosmaterias-primas/sulfato-de-potassio-anidro-p-a-a-c-s?parceiro=2827&amp;variant_id=302661&amp;gclid=Cj0KCQjwtsCgBhDEARIsAE7RYh1etLoEpaYOPryWzAtUKjeLhWV86ttd-actq024wOKZW9YlAsOvEnwaAu" TargetMode="External"/><Relationship Id="rId766" Type="http://schemas.openxmlformats.org/officeDocument/2006/relationships/hyperlink" Target="https://sipac.sig.ufal.br/sipac/visualizaMaterial.do?popup=true&amp;id=23682&amp;acao=12" TargetMode="External"/><Relationship Id="rId767" Type="http://schemas.openxmlformats.org/officeDocument/2006/relationships/hyperlink" Target="https://www.acsreagentes.com.br/sulfato-de-prata-pa-acs-25g-acs-cientifica?gclid=Cj0KCQjwtsCgBhDEARIsAE7RYh0nXdF4rgLH3GeYLinf67vRqjo2CRTRUm2xsWGsNl00he1kYNLVX2YaAh7fEALw_wcB" TargetMode="External"/><Relationship Id="rId768" Type="http://schemas.openxmlformats.org/officeDocument/2006/relationships/hyperlink" Target="https://www.glasslab.com.br/reagentes-e-meios/sulfato-de-prata-pa-acs-25g?parceiro=6858&amp;gclid=Cj0KCQjwtsCgBhDEARIsAE7RYh38bApN5FpQ-31Duv2aeZoOEP4hoAZtj-gr9uPJ1nR9UcXJfO_XgTMaAp_GEALw_wcB" TargetMode="External"/><Relationship Id="rId769" Type="http://schemas.openxmlformats.org/officeDocument/2006/relationships/hyperlink" Target="https://www.lojasynth.com/reagentes-analiticosmaterias-primas/reagentes-analiticosmaterias-primas/sulfato-de-prata-p-a-a-c-s?parceiro=2827&amp;variant_id=301879&amp;gclid=Cj0KCQjwtsCgBhDEARIsAE7RYh0CUxq_lmrPkLTZBjE-WSxH4vev359MVEDG_RQYQ9soC42-yyWH3W0aAhNIEALw_wcB" TargetMode="External"/><Relationship Id="rId770" Type="http://schemas.openxmlformats.org/officeDocument/2006/relationships/hyperlink" Target="https://sipac.sig.ufal.br/sipac/visualizaMaterial.do?popup=true&amp;id=1751&amp;acao=12" TargetMode="External"/><Relationship Id="rId771" Type="http://schemas.openxmlformats.org/officeDocument/2006/relationships/hyperlink" Target="https://www.glasslab.com.br/reagentes-e-meios/sulfato-de-sodio-anidro-pa-acs-1kg?parceiro=6858&amp;srsltid=Ad5pg_G13FOl_3pJRuzitA_eeyw8Di4iNepa1gGirjEQTK4gouMukP2r6Po" TargetMode="External"/><Relationship Id="rId772" Type="http://schemas.openxmlformats.org/officeDocument/2006/relationships/hyperlink" Target="https://www.orionprodutoscientificos.com.br/sulfato-de-sodio-anidro-pa-acs-1kg-exodo-cientifica?utm_source=Site&amp;utm_medium=GoogleMerchant&amp;utm_campaign=GoogleMerchant" TargetMode="External"/><Relationship Id="rId773" Type="http://schemas.openxmlformats.org/officeDocument/2006/relationships/hyperlink" Target="https://www.didaticasp.com.br/produto/sulfato-de-sodio-anidro-pa-acs-1kg-cas-7757-82-6-ssp.html" TargetMode="External"/><Relationship Id="rId774" Type="http://schemas.openxmlformats.org/officeDocument/2006/relationships/hyperlink" Target="https://sipac.sig.ufal.br/sipac/visualizaMaterial.do?popup=true&amp;id=23662&amp;acao=12" TargetMode="External"/><Relationship Id="rId775" Type="http://schemas.openxmlformats.org/officeDocument/2006/relationships/hyperlink" Target="https://www.lojasynth.com/reagentes-analiticosmaterias-primas/reagentes-analiticosmaterias-primas/sulfato-de-zinco-7h2o-p-a-a-c-s?variant_id=302639&amp;parceiro=2827" TargetMode="External"/><Relationship Id="rId776" Type="http://schemas.openxmlformats.org/officeDocument/2006/relationships/hyperlink" Target="https://www.labimport.com.br/reagentes/sulfato-de-zinco/sulfato-de-zinco-7h2o-heptahidratado-pa-500g-12349" TargetMode="External"/><Relationship Id="rId777" Type="http://schemas.openxmlformats.org/officeDocument/2006/relationships/hyperlink" Target="https://www.didaticasp.com.br/produto/sulfato-de-zinco-heptahidratado-pa-500g-cas-7446-20-0.html" TargetMode="External"/><Relationship Id="rId778" Type="http://schemas.openxmlformats.org/officeDocument/2006/relationships/hyperlink" Target="https://sipac.sig.ufal.br/sipac/visualizaMaterial.do?popup=true&amp;id=30788&amp;acao=12" TargetMode="External"/><Relationship Id="rId779" Type="http://schemas.openxmlformats.org/officeDocument/2006/relationships/hyperlink" Target="https://www.lojaprolab.com.br/sulfeto-de-amonio-saturado-80789?utm_source=google&amp;utm_medium=feed&amp;utm_campaign=shopping&amp;srsltid=Ad5pg_GX-DRPWdlPsSB5YXG3X1JF6K3PsM3J5IT5UyIPX6Ld6FLGeIRPhBU" TargetMode="External"/><Relationship Id="rId780" Type="http://schemas.openxmlformats.org/officeDocument/2006/relationships/hyperlink" Target="https://www.acsreagentes.com.br/sulfeto-de-amonio-saturado-1l-acs-cientifica?utm_source=Site&amp;utm_medium=GoogleMerchant&amp;utm_campaign=GoogleMerchant" TargetMode="External"/><Relationship Id="rId781" Type="http://schemas.openxmlformats.org/officeDocument/2006/relationships/hyperlink" Target="http://didaticasp.com.br/solucao-sulfeto-de-amonio-saturado-1l" TargetMode="External"/><Relationship Id="rId782" Type="http://schemas.openxmlformats.org/officeDocument/2006/relationships/hyperlink" Target="https://sipac.sig.ufal.br/sipac/visualizaMaterial.do?popup=true&amp;id=23672&amp;acao=12" TargetMode="External"/><Relationship Id="rId783" Type="http://schemas.openxmlformats.org/officeDocument/2006/relationships/hyperlink" Target="https://www.glasslab.com.br/reagentes-e-meios/sulfeto-de-sodio-9h2o-pa-acs-500g" TargetMode="External"/><Relationship Id="rId784" Type="http://schemas.openxmlformats.org/officeDocument/2006/relationships/hyperlink" Target="https://sipac.sig.ufal.br/sipac/visualizaMaterial.do?popup=true&amp;id=23676&amp;acao=12" TargetMode="External"/><Relationship Id="rId785" Type="http://schemas.openxmlformats.org/officeDocument/2006/relationships/hyperlink" Target="https://www.lojaprolab.com.br/sulfito-de-sodio-anidro-pa-acs-79805" TargetMode="External"/><Relationship Id="rId786" Type="http://schemas.openxmlformats.org/officeDocument/2006/relationships/hyperlink" Target="https://www.biomedh.com.br/007161/sulfito-de-sodio-anidro-pa-acs-1000gr.html" TargetMode="External"/><Relationship Id="rId787" Type="http://schemas.openxmlformats.org/officeDocument/2006/relationships/hyperlink" Target="https://www.biomedh.com.br/marca/150-exodo/" TargetMode="External"/><Relationship Id="rId788" Type="http://schemas.openxmlformats.org/officeDocument/2006/relationships/hyperlink" Target="https://www.laderquimica.com.br/sulfito-de-sodio-anidro-pa-acs-1kg-neon" TargetMode="External"/><Relationship Id="rId789" Type="http://schemas.openxmlformats.org/officeDocument/2006/relationships/hyperlink" Target="https://sipac.sig.ufal.br/sipac/visualizaMaterial.do?popup=true&amp;id=23677&amp;acao=12" TargetMode="External"/><Relationship Id="rId790" Type="http://schemas.openxmlformats.org/officeDocument/2006/relationships/hyperlink" Target="https://www.acsreagentes.com.br/tartarato-de-sodio-e-potassio-4h2o-pa-acs-1kg-acs-cientifica?utm_source=Site&amp;utm_medium=GoogleMerchant&amp;utm_campaign=GoogleMerchant&amp;gclid=Cj0KCQjwk7ugBhDIARIsAGuvgPa-OqRrSLNPu1zsejNHALyl9KD8Ls1xLN93YWuTxeihRM1i8HbsQuUaAvrlEA" TargetMode="External"/><Relationship Id="rId791" Type="http://schemas.openxmlformats.org/officeDocument/2006/relationships/hyperlink" Target="https://www.lojasynth.com/reagentes-analiticosmaterias-primas/reagentes-analiticosmaterias-primas/tartarato-de-sodio-e-potassio-4h2o-p-a?parceiro=2827&amp;variant_id=301574" TargetMode="External"/><Relationship Id="rId792" Type="http://schemas.openxmlformats.org/officeDocument/2006/relationships/hyperlink" Target="https://sipac.sig.ufal.br/sipac/visualizaMaterial.do?popup=true&amp;id=23671&amp;acao=12" TargetMode="External"/><Relationship Id="rId793" Type="http://schemas.openxmlformats.org/officeDocument/2006/relationships/hyperlink" Target="https://www.acsreagentes.com.br/tetraborato-de-sodio-10h2o-pa-borax-500g-acs-cientifica?utm_source=Site&amp;utm_medium=GoogleMerchant&amp;utm_campaign=GoogleMerchant" TargetMode="External"/><Relationship Id="rId794" Type="http://schemas.openxmlformats.org/officeDocument/2006/relationships/hyperlink" Target="https://www.glasslab.com.br/reagentes-e-meios/tetraborato-de-sodio-10h2o-borax-pa-1kg?parceiro=6858&amp;srsltid=Ad5pg_FP_ZkkbbGh4_eEiC8m6lidZ17Yp5k3a-Ar_mNkOQBEJt1MktBpRiI" TargetMode="External"/><Relationship Id="rId795" Type="http://schemas.openxmlformats.org/officeDocument/2006/relationships/hyperlink" Target="https://www.labimport.com.br/reagentes/tetraborato-de-sodio/tetraborato-de-sodio-10h2o-pa-borax-1kg-12365" TargetMode="External"/><Relationship Id="rId796" Type="http://schemas.openxmlformats.org/officeDocument/2006/relationships/hyperlink" Target="https://sipac.sig.ufal.br/sipac/visualizaMaterial.do?popup=true&amp;id=23679&amp;acao=12" TargetMode="External"/><Relationship Id="rId797" Type="http://schemas.openxmlformats.org/officeDocument/2006/relationships/hyperlink" Target="https://www.acsreagentes.com.br/tetracloreto-de-carbono-pa-1l-acs-cientifica?utm_source=Site&amp;utm_medium=GoogleMerchant&amp;utm_campaign=GoogleMerchant" TargetMode="External"/><Relationship Id="rId798" Type="http://schemas.openxmlformats.org/officeDocument/2006/relationships/hyperlink" Target="https://sipac.sig.ufal.br/sipac/visualizaMaterial.do?popup=true&amp;id=24903&amp;acao=12" TargetMode="External"/><Relationship Id="rId799" Type="http://schemas.openxmlformats.org/officeDocument/2006/relationships/hyperlink" Target="https://www.acsreagentes.com.br/timol-puro-100g-acs-cientifica?utm_source=Site&amp;utm_medium=GoogleMerchant&amp;utm_campaign=GoogleMerchant" TargetMode="External"/><Relationship Id="rId800" Type="http://schemas.openxmlformats.org/officeDocument/2006/relationships/hyperlink" Target="https://www.lojanetlab.com.br/reagentes/pa/timol-puro" TargetMode="External"/><Relationship Id="rId801" Type="http://schemas.openxmlformats.org/officeDocument/2006/relationships/hyperlink" Target="https://www.didaticasp.com.br/timol-puro-100g" TargetMode="External"/><Relationship Id="rId802" Type="http://schemas.openxmlformats.org/officeDocument/2006/relationships/hyperlink" Target="https://sipac.sig.ufal.br/sipac/visualizaMaterial.do?popup=true&amp;id=23680&amp;acao=12" TargetMode="External"/><Relationship Id="rId803" Type="http://schemas.openxmlformats.org/officeDocument/2006/relationships/hyperlink" Target="https://www.acsreagentes.com.br/tioacetamida-pa-acs-25g-acs-cientifica?utm_source=Site&amp;utm_medium=GoogleMerchant&amp;utm_campaign=GoogleMerchant" TargetMode="External"/><Relationship Id="rId804" Type="http://schemas.openxmlformats.org/officeDocument/2006/relationships/hyperlink" Target="https://www.glasslab.com.br/reagentes-e-meios/tioacetamida-pa-acs-25g?parceiro=6858&amp;srsltid=Ad5pg_EDT4jzPtiec3mT4qRGz-ZGas9jGkMtz7bqsfCzTezwoAxp-0iKtlU" TargetMode="External"/><Relationship Id="rId805" Type="http://schemas.openxmlformats.org/officeDocument/2006/relationships/hyperlink" Target="https://www.orionprodutoscientificos.com.br/tioacetamida-p-a-acs-50-g-fabricante-neon?utm_source=Site&amp;utm_medium=GoogleMerchant&amp;utm_campaign=GoogleMerchant" TargetMode="External"/><Relationship Id="rId806" Type="http://schemas.openxmlformats.org/officeDocument/2006/relationships/hyperlink" Target="https://sipac.sig.ufal.br/sipac/visualizaMaterial.do?popup=true&amp;id=23521&amp;acao=12" TargetMode="External"/><Relationship Id="rId807" Type="http://schemas.openxmlformats.org/officeDocument/2006/relationships/hyperlink" Target="https://www.lojasynth.com/reagentes-analiticosmaterias-primas/reagentes-analiticosmaterias-primas/tiocianato-de-potassio-p-a?parceiro=2827&amp;variant_id=302587&amp;gclid=Cj0KCQjwk7ugBhDIARIsAGuvgPZxrqR3IfuydiQsT7ExesdXJQCdKg1d5dxhSxCHFNUdPpzC2OWbgRwaApBLEALw_wcB" TargetMode="External"/><Relationship Id="rId808" Type="http://schemas.openxmlformats.org/officeDocument/2006/relationships/hyperlink" Target="https://www.acsreagentes.com.br/tiocianato-de-potassio-pa-acs-500g-acs-cientifica?utm_source=Site&amp;utm_medium=GoogleMerchant&amp;utm_campaign=GoogleMerchant" TargetMode="External"/><Relationship Id="rId809" Type="http://schemas.openxmlformats.org/officeDocument/2006/relationships/hyperlink" Target="https://www.orionprodutoscientificos.com.br/tiocianato-de-potassio-p-a-500-g-fabricante-neon-N02399?utm_source=Site&amp;utm_medium=GoogleMerchant&amp;utm_campaign=GoogleMerchant" TargetMode="External"/><Relationship Id="rId810" Type="http://schemas.openxmlformats.org/officeDocument/2006/relationships/hyperlink" Target="https://sipac.sig.ufal.br/sipac/visualizaMaterial.do?popup=true&amp;id=25910&amp;acao=12" TargetMode="External"/><Relationship Id="rId811" Type="http://schemas.openxmlformats.org/officeDocument/2006/relationships/hyperlink" Target="https://www.laderquimica.com.br/tiossulfato-de-sodio-5h2o-pa-acs-1kg-dinamica?utm_source=Site&amp;utm_medium=GoogleMerchant&amp;utm_campaign=GoogleMerchant&amp;srsltid=Ad5pg_HoclfPUhkJE9eL22kM0gcAV4wBYDN0oRAEPe2cdRu_W92VvE4IWFA" TargetMode="External"/><Relationship Id="rId812" Type="http://schemas.openxmlformats.org/officeDocument/2006/relationships/hyperlink" Target="https://www.orionprodutoscientificos.com.br/tiossulfato-de-sodio-5h2o-pa-1kg-exodo-cientifica?utm_source=Site&amp;utm_medium=GoogleMerchant&amp;utm_campaign=GoogleMerchant" TargetMode="External"/><Relationship Id="rId813" Type="http://schemas.openxmlformats.org/officeDocument/2006/relationships/hyperlink" Target="https://www.glasslab.com.br/reagentes-e-meios/tiossulfato-de-sodio-5h2o-pa-1kg?parceiro=6858&amp;srsltid=Ad5pg_HTXDsJ874S82IjlzbBX-7EajT3VLdmHmaVUXq-zMolwGtXljPpRIk" TargetMode="External"/><Relationship Id="rId814" Type="http://schemas.openxmlformats.org/officeDocument/2006/relationships/hyperlink" Target="https://sipac.sig.ufal.br/sipac/visualizaMaterial.do?popup=true&amp;id=23503&amp;acao=12" TargetMode="External"/><Relationship Id="rId815" Type="http://schemas.openxmlformats.org/officeDocument/2006/relationships/hyperlink" Target="https://www.didaticasp.com.br/tolueno-toluol-pa-1l-pfssp" TargetMode="External"/><Relationship Id="rId816" Type="http://schemas.openxmlformats.org/officeDocument/2006/relationships/hyperlink" Target="https://www.glasslab.com.br/reagentes-e-meios/tolueno-toluol-pa-acs-1l" TargetMode="External"/><Relationship Id="rId817" Type="http://schemas.openxmlformats.org/officeDocument/2006/relationships/hyperlink" Target="https://sipac.sig.ufal.br/sipac/visualizaMaterial.do?popup=true&amp;id=28218&amp;acao=12" TargetMode="External"/><Relationship Id="rId818" Type="http://schemas.openxmlformats.org/officeDocument/2006/relationships/hyperlink" Target="http://cnpj.info/02208188000193" TargetMode="External"/><Relationship Id="rId819" Type="http://schemas.openxmlformats.org/officeDocument/2006/relationships/hyperlink" Target="https://www.acsreagentes.com.br/trietilenoglicol-puro-1l-acs-cientifica?utm_source=Site&amp;utm_medium=GoogleMerchant&amp;utm_campaign=GoogleMerchant" TargetMode="External"/><Relationship Id="rId820" Type="http://schemas.openxmlformats.org/officeDocument/2006/relationships/hyperlink" Target="https://www.glasslab.com.br/reagentes-e-meios/etileno-glicol-pa-1l?parceiro=6858&amp;srsltid=Ad5pg_EfBHxX9y_z6vMAI7vy_X0o22fSEMKDlC1ZUBY5f_6iUXdcCMj8mHA" TargetMode="External"/><Relationship Id="rId821" Type="http://schemas.openxmlformats.org/officeDocument/2006/relationships/hyperlink" Target="https://www.lablac.com.br/etilenoglicol-pa-1l?utm_source=Site&amp;utm_medium=GoogleMerchant&amp;utm_campaign=GoogleMerchant&amp;srsltid=Ad5pg_FVml0BeBfAnR5ZzVtAJSFQt_vySkU2mWkyrxVIrMD_Afy0LB9iRLo" TargetMode="External"/><Relationship Id="rId822" Type="http://schemas.openxmlformats.org/officeDocument/2006/relationships/hyperlink" Target="https://sipac.sig.ufal.br/sipac/visualizaMaterial.do?popup=true&amp;id=25735&amp;acao=12" TargetMode="External"/><Relationship Id="rId823" Type="http://schemas.openxmlformats.org/officeDocument/2006/relationships/hyperlink" Target="https://www.labimport.com.br/reagentes/trifenil/trifenil-tetrazolio-cloreto-2-3-5-ttc-pa-10g-12383" TargetMode="External"/><Relationship Id="rId824" Type="http://schemas.openxmlformats.org/officeDocument/2006/relationships/hyperlink" Target="http://cnpj.info/02208188000193" TargetMode="External"/><Relationship Id="rId825" Type="http://schemas.openxmlformats.org/officeDocument/2006/relationships/hyperlink" Target="https://www.acsreagentes.com.br/trifenil-tetrazolio-cloreto-235-ttc-pa-10g-acs-cientifica?utm_source=Site&amp;utm_medium=GoogleMerchant&amp;utm_campaign=GoogleMerchant" TargetMode="External"/><Relationship Id="rId826" Type="http://schemas.openxmlformats.org/officeDocument/2006/relationships/hyperlink" Target="https://www.orionprodutoscientificos.com.br/cloreto-de-235-trifenil-tetrazolio-10-g-fabricante-neon?utm_source=Site&amp;utm_medium=GoogleMerchant&amp;utm_campaign=GoogleMerchant" TargetMode="External"/><Relationship Id="rId827" Type="http://schemas.openxmlformats.org/officeDocument/2006/relationships/hyperlink" Target="https://sipac.sig.ufal.br/sipac/visualizaMaterial.do?popup=true&amp;id=31092&amp;acao=12" TargetMode="External"/><Relationship Id="rId828" Type="http://schemas.openxmlformats.org/officeDocument/2006/relationships/hyperlink" Target="https://sipac.sig.ufal.br/sipac/visualizaMaterial.do?popup=true&amp;id=23492&amp;acao=12" TargetMode="External"/><Relationship Id="rId829" Type="http://schemas.openxmlformats.org/officeDocument/2006/relationships/hyperlink" Target="https://www.didaticasp.com.br/produto/ureia-pa-500g-cas-57-13-6.html" TargetMode="External"/><Relationship Id="rId830" Type="http://schemas.openxmlformats.org/officeDocument/2006/relationships/hyperlink" Target="https://www.orionprodutoscientificos.com.br/ureia-p-a-1000-g-fabricante-neon?utm_source=Site&amp;utm_medium=GoogleMerchant&amp;utm_campaign=GoogleMerchant" TargetMode="External"/><Relationship Id="rId831" Type="http://schemas.openxmlformats.org/officeDocument/2006/relationships/hyperlink" Target="https://www.orionprodutoscientificos.com.br/ureia-p-a-1000-g-fabricante-neon?utm_source=Site&amp;utm_medium=GoogleMerchant&amp;utm_campaign=GoogleMerchant" TargetMode="External"/><Relationship Id="rId832" Type="http://schemas.openxmlformats.org/officeDocument/2006/relationships/hyperlink" Target="https://sipac.sig.ufal.br/sipac/visualizaMaterial.do?popup=true&amp;id=8202&amp;acao=12" TargetMode="External"/><Relationship Id="rId833" Type="http://schemas.openxmlformats.org/officeDocument/2006/relationships/hyperlink" Target="http://cnpj.info/02208188000193" TargetMode="External"/><Relationship Id="rId834" Type="http://schemas.openxmlformats.org/officeDocument/2006/relationships/hyperlink" Target="https://www.acsreagentes.com.br/verde-bromocresol-pa-5g-acs-cientifica?utm_source=Site&amp;utm_medium=GoogleMerchant&amp;utm_campaign=GoogleMerchant&amp;gclid=Cj0KCQiAx6ugBhCcARIsAGNmMbioXTcga0gAlTSh1aM3EYNDedik0pHPrTHBzThS3zpaRcRryJXuRHIaAnqvEALw_wcB" TargetMode="External"/><Relationship Id="rId835" Type="http://schemas.openxmlformats.org/officeDocument/2006/relationships/hyperlink" Target="https://www.acsreagentes.com.br/verde-bromocresol-pa-5g-acs-cientifica?utm_source=Site&amp;utm_medium=GoogleMerchant&amp;utm_campaign=GoogleMerchant&amp;gclid=Cj0KCQiAx6ugBhCcARIsAGNmMbioXTcga0gAlTSh1aM3EYNDedik0pHPrTHBzThS3zpaRcRryJXuRHIaAnqvEALw_wcB" TargetMode="External"/><Relationship Id="rId836" Type="http://schemas.openxmlformats.org/officeDocument/2006/relationships/hyperlink" Target="https://www.lojasynth.com/reagentes-analiticosmaterias-primas/reagentes-analiticosmaterias-primas/verde-bromocresol-p-a-a-c-s?parceiro=2827&amp;variant_id=301632&amp;gclid=Cj0KCQiAx6ugBhCcARIsAGNmMbh8TOmZsG5TsYWG5oMoQiaFqh_6mjQDNiQKrCgXNGlT6IwsRHHxSgAaAvXpEALw_wc" TargetMode="External"/><Relationship Id="rId837" Type="http://schemas.openxmlformats.org/officeDocument/2006/relationships/hyperlink" Target="https://sipac.sig.ufal.br/sipac/visualizaMaterial.do?popup=true&amp;id=24837&amp;acao=12" TargetMode="External"/><Relationship Id="rId838" Type="http://schemas.openxmlformats.org/officeDocument/2006/relationships/hyperlink" Target="https://www.labimport.com.br/reagentes/reagentes-e-solventes/vermelho-de-metila-pa-ci-13020-25g-12415" TargetMode="External"/><Relationship Id="rId839" Type="http://schemas.openxmlformats.org/officeDocument/2006/relationships/hyperlink" Target="https://perfyltech.mercadoshops.com.br/MLB-2770800982-vermelho-de-metila-pa-acs-25g-_JM?gclid=Cj0KCQiAx6ugBhCcARIsAGNmMbjV0vmmEHgI-kHDVMcHIr-hcdYZ0hD9WzcyY48cGF1yKANfOe2IT1oaAnT5EALw_wcB" TargetMode="External"/><Relationship Id="rId840" Type="http://schemas.openxmlformats.org/officeDocument/2006/relationships/hyperlink" Target="http://cnpj.info/02208188000193" TargetMode="External"/><Relationship Id="rId841" Type="http://schemas.openxmlformats.org/officeDocument/2006/relationships/hyperlink" Target="https://www.acsreagentes.com.br/buscar?q=Vermelho+De+Metila+Pa+%28Ci.+13020%29+++25G+Acs+Cientifica" TargetMode="External"/><Relationship Id="rId842" Type="http://schemas.openxmlformats.org/officeDocument/2006/relationships/hyperlink" Target="https://sipac.sig.ufal.br/sipac/visualizaMaterial.do?popup=true&amp;id=23269&amp;acao=12" TargetMode="External"/><Relationship Id="rId843" Type="http://schemas.openxmlformats.org/officeDocument/2006/relationships/hyperlink" Target="https://www.glasslab.com.br/reagentes-e-meios/xilol-xileno-pa-acs-1l?parceiro=6858&amp;gclid=Cj0KCQjwk7ugBhDIARIsAGuvgPZXjVsrhe8MG8UlHMZSUv7NjBSPBiXeFPMnCqTPqAjCxJ7M5ZI-oK4aAlLtEALw_wcB" TargetMode="External"/><Relationship Id="rId844" Type="http://schemas.openxmlformats.org/officeDocument/2006/relationships/hyperlink" Target="https://www.acsreagentes.com.br/xilol-pa-acs-1l-acs-cientifica?utm_source=Site&amp;utm_medium=GoogleMerchant&amp;utm_campaign=GoogleMerchant" TargetMode="External"/><Relationship Id="rId845" Type="http://schemas.openxmlformats.org/officeDocument/2006/relationships/hyperlink" Target="https://www.didaticasp.com.br/xileno-xilol-pa-1l" TargetMode="External"/><Relationship Id="rId846" Type="http://schemas.openxmlformats.org/officeDocument/2006/relationships/hyperlink" Target="https://sipac.sig.ufal.br/sipac/visualizaMaterial.do?popup=true&amp;id=23266&amp;acao=12" TargetMode="External"/><Relationship Id="rId847" Type="http://schemas.openxmlformats.org/officeDocument/2006/relationships/hyperlink" Target="https://www.glasslab.com.br/reagentes-e-meios/zinco-granulado-20-mesh-pa-500g?parceiro=6858&amp;gclid=EAIaIQobChMIm6bf18rR_QIVoEVIAB1BlwzkEAQYBCABEgIMsPD_BwE" TargetMode="External"/><Relationship Id="rId848" Type="http://schemas.openxmlformats.org/officeDocument/2006/relationships/hyperlink" Target="https://www.didaticasp.com.br/produto/zinco-granulado-de-3-a-8mm-pa-1kg-cas-7440-66-6.html" TargetMode="External"/><Relationship Id="rId849" Type="http://schemas.openxmlformats.org/officeDocument/2006/relationships/hyperlink" Target="https://www.lojasynth.com/reagentes-analiticosmaterias-primas/reagentes-analiticosmaterias-primas/zinco-3-8mm-p-a-granalha" TargetMode="External"/><Relationship Id="rId850" Type="http://schemas.openxmlformats.org/officeDocument/2006/relationships/drawing" Target="../drawings/drawing1.xml"/><Relationship Id="rId851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75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1" topLeftCell="C2" activePane="bottomRight" state="frozen"/>
      <selection pane="topLeft" activeCell="A1" activeCellId="0" sqref="A1"/>
      <selection pane="topRight" activeCell="C1" activeCellId="0" sqref="C1"/>
      <selection pane="bottomLeft" activeCell="A2" activeCellId="0" sqref="A2"/>
      <selection pane="bottomRight" activeCell="D5" activeCellId="0" sqref="D5"/>
    </sheetView>
  </sheetViews>
  <sheetFormatPr defaultColWidth="11.53515625" defaultRowHeight="12.8" zeroHeight="false" outlineLevelRow="0" outlineLevelCol="0"/>
  <cols>
    <col collapsed="false" customWidth="true" hidden="false" outlineLevel="0" max="4" min="4" style="0" width="40.47"/>
    <col collapsed="false" customWidth="true" hidden="false" outlineLevel="0" max="5" min="5" style="0" width="22.69"/>
    <col collapsed="false" customWidth="true" hidden="false" outlineLevel="0" max="6" min="6" style="0" width="6.01"/>
    <col collapsed="false" customWidth="true" hidden="false" outlineLevel="0" max="7" min="7" style="0" width="8.1"/>
    <col collapsed="false" customWidth="true" hidden="false" outlineLevel="0" max="8" min="8" style="0" width="11.99"/>
    <col collapsed="false" customWidth="true" hidden="false" outlineLevel="0" max="9" min="9" style="0" width="13.1"/>
    <col collapsed="false" customWidth="true" hidden="false" outlineLevel="0" max="10" min="10" style="0" width="75.34"/>
    <col collapsed="false" customWidth="true" hidden="false" outlineLevel="0" max="11" min="11" style="0" width="4.9"/>
    <col collapsed="false" customWidth="true" hidden="false" outlineLevel="0" max="12" min="12" style="0" width="5.18"/>
    <col collapsed="false" customWidth="true" hidden="false" outlineLevel="0" max="13" min="13" style="0" width="14.9"/>
    <col collapsed="false" customWidth="true" hidden="false" outlineLevel="0" max="14" min="14" style="0" width="40.06"/>
    <col collapsed="false" customWidth="true" hidden="false" outlineLevel="0" max="15" min="15" style="0" width="12.13"/>
    <col collapsed="false" customWidth="true" hidden="false" outlineLevel="0" max="16" min="16" style="0" width="7.13"/>
    <col collapsed="false" customWidth="true" hidden="false" outlineLevel="0" max="17" min="17" style="0" width="7.68"/>
    <col collapsed="false" customWidth="true" hidden="false" outlineLevel="0" max="18" min="18" style="0" width="3.79"/>
    <col collapsed="false" customWidth="true" hidden="false" outlineLevel="0" max="20" min="19" style="0" width="6.01"/>
    <col collapsed="false" customWidth="true" hidden="false" outlineLevel="0" max="21" min="21" style="0" width="2.68"/>
    <col collapsed="false" customWidth="true" hidden="false" outlineLevel="0" max="22" min="22" style="0" width="6.01"/>
    <col collapsed="false" customWidth="true" hidden="false" outlineLevel="0" max="23" min="23" style="0" width="7.13"/>
    <col collapsed="false" customWidth="true" hidden="false" outlineLevel="0" max="24" min="24" style="0" width="6.01"/>
    <col collapsed="false" customWidth="true" hidden="false" outlineLevel="0" max="25" min="25" style="0" width="3.79"/>
    <col collapsed="false" customWidth="true" hidden="false" outlineLevel="0" max="28" min="26" style="0" width="6.01"/>
    <col collapsed="false" customWidth="true" hidden="false" outlineLevel="0" max="30" min="29" style="0" width="4.9"/>
    <col collapsed="false" customWidth="true" hidden="false" outlineLevel="0" max="32" min="31" style="0" width="3.79"/>
    <col collapsed="false" customWidth="true" hidden="false" outlineLevel="0" max="33" min="33" style="0" width="2.68"/>
    <col collapsed="false" customWidth="true" hidden="false" outlineLevel="0" max="35" min="34" style="0" width="6.01"/>
    <col collapsed="false" customWidth="true" hidden="false" outlineLevel="0" max="36" min="36" style="0" width="3.79"/>
    <col collapsed="false" customWidth="true" hidden="false" outlineLevel="0" max="37" min="37" style="0" width="6.01"/>
    <col collapsed="false" customWidth="true" hidden="false" outlineLevel="0" max="38" min="38" style="0" width="2.68"/>
    <col collapsed="false" customWidth="true" hidden="false" outlineLevel="0" max="39" min="39" style="0" width="4.9"/>
    <col collapsed="false" customWidth="true" hidden="false" outlineLevel="0" max="41" min="40" style="0" width="6.01"/>
    <col collapsed="false" customWidth="true" hidden="false" outlineLevel="0" max="42" min="42" style="0" width="7.13"/>
    <col collapsed="false" customWidth="true" hidden="false" outlineLevel="0" max="46" min="45" style="0" width="11.99"/>
    <col collapsed="false" customWidth="true" hidden="false" outlineLevel="0" max="47" min="47" style="0" width="20.18"/>
    <col collapsed="false" customWidth="true" hidden="false" outlineLevel="0" max="48" min="48" style="0" width="147.32"/>
    <col collapsed="false" customWidth="true" hidden="false" outlineLevel="0" max="49" min="49" style="0" width="262.09"/>
    <col collapsed="false" customWidth="true" hidden="false" outlineLevel="0" max="50" min="50" style="0" width="252.23"/>
    <col collapsed="false" customWidth="true" hidden="false" outlineLevel="0" max="51" min="51" style="0" width="21.3"/>
    <col collapsed="false" customWidth="true" hidden="false" outlineLevel="0" max="52" min="52" style="0" width="12.13"/>
    <col collapsed="false" customWidth="true" hidden="false" outlineLevel="0" max="53" min="53" style="0" width="20.18"/>
    <col collapsed="false" customWidth="true" hidden="false" outlineLevel="0" max="54" min="54" style="0" width="11.99"/>
    <col collapsed="false" customWidth="true" hidden="false" outlineLevel="0" max="55" min="55" style="0" width="256.39"/>
    <col collapsed="false" customWidth="true" hidden="false" outlineLevel="0" max="56" min="56" style="0" width="110.51"/>
    <col collapsed="false" customWidth="true" hidden="false" outlineLevel="0" max="57" min="57" style="0" width="16.43"/>
    <col collapsed="false" customWidth="true" hidden="false" outlineLevel="0" max="58" min="58" style="0" width="12.13"/>
    <col collapsed="false" customWidth="true" hidden="false" outlineLevel="0" max="59" min="59" style="0" width="20.18"/>
    <col collapsed="false" customWidth="true" hidden="false" outlineLevel="0" max="60" min="60" style="0" width="11.99"/>
    <col collapsed="false" customWidth="true" hidden="false" outlineLevel="0" max="61" min="61" style="0" width="106.68"/>
    <col collapsed="false" customWidth="true" hidden="false" outlineLevel="0" max="62" min="62" style="0" width="110.51"/>
    <col collapsed="false" customWidth="true" hidden="false" outlineLevel="0" max="63" min="63" style="0" width="21.3"/>
    <col collapsed="false" customWidth="true" hidden="false" outlineLevel="0" max="64" min="64" style="0" width="12.13"/>
  </cols>
  <sheetData>
    <row r="1" customFormat="false" ht="316.5" hidden="false" customHeight="false" outlineLevel="0" collapsed="false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5" t="s">
        <v>13</v>
      </c>
      <c r="AR1" s="4" t="s">
        <v>42</v>
      </c>
      <c r="AS1" s="4" t="s">
        <v>43</v>
      </c>
      <c r="AT1" s="6" t="s">
        <v>44</v>
      </c>
      <c r="AU1" s="7" t="s">
        <v>45</v>
      </c>
      <c r="AV1" s="8" t="s">
        <v>46</v>
      </c>
      <c r="AW1" s="9" t="s">
        <v>47</v>
      </c>
      <c r="AX1" s="9" t="s">
        <v>48</v>
      </c>
      <c r="AY1" s="4" t="s">
        <v>49</v>
      </c>
      <c r="AZ1" s="4" t="s">
        <v>50</v>
      </c>
      <c r="BA1" s="10" t="s">
        <v>51</v>
      </c>
      <c r="BB1" s="8" t="s">
        <v>52</v>
      </c>
      <c r="BC1" s="9" t="s">
        <v>53</v>
      </c>
      <c r="BD1" s="9" t="s">
        <v>54</v>
      </c>
      <c r="BE1" s="4" t="s">
        <v>55</v>
      </c>
      <c r="BF1" s="4" t="s">
        <v>56</v>
      </c>
      <c r="BG1" s="11" t="s">
        <v>57</v>
      </c>
      <c r="BH1" s="8" t="s">
        <v>58</v>
      </c>
      <c r="BI1" s="9" t="s">
        <v>59</v>
      </c>
      <c r="BJ1" s="9" t="s">
        <v>60</v>
      </c>
      <c r="BK1" s="4" t="s">
        <v>61</v>
      </c>
      <c r="BL1" s="4" t="s">
        <v>62</v>
      </c>
    </row>
    <row r="2" customFormat="false" ht="215.25" hidden="false" customHeight="false" outlineLevel="0" collapsed="false">
      <c r="A2" s="12" t="s">
        <v>25</v>
      </c>
      <c r="B2" s="12" t="s">
        <v>63</v>
      </c>
      <c r="C2" s="13" t="s">
        <v>64</v>
      </c>
      <c r="D2" s="14" t="s">
        <v>65</v>
      </c>
      <c r="E2" s="14" t="s">
        <v>66</v>
      </c>
      <c r="F2" s="14" t="n">
        <v>1</v>
      </c>
      <c r="G2" s="14" t="n">
        <v>1000</v>
      </c>
      <c r="H2" s="15" t="n">
        <v>350</v>
      </c>
      <c r="I2" s="15" t="n">
        <v>350</v>
      </c>
      <c r="J2" s="16" t="s">
        <v>67</v>
      </c>
      <c r="K2" s="17" t="n">
        <v>1</v>
      </c>
      <c r="L2" s="17" t="s">
        <v>68</v>
      </c>
      <c r="M2" s="17" t="n">
        <v>21000000268</v>
      </c>
      <c r="N2" s="18" t="s">
        <v>69</v>
      </c>
      <c r="O2" s="17" t="s">
        <v>70</v>
      </c>
      <c r="P2" s="17" t="n">
        <f aca="false">SUM(R2:AP2)</f>
        <v>1000</v>
      </c>
      <c r="Q2" s="17" t="s">
        <v>71</v>
      </c>
      <c r="R2" s="17"/>
      <c r="S2" s="17"/>
      <c r="T2" s="17"/>
      <c r="U2" s="17"/>
      <c r="V2" s="17"/>
      <c r="W2" s="17"/>
      <c r="X2" s="17"/>
      <c r="Y2" s="17"/>
      <c r="Z2" s="17" t="n">
        <v>1000</v>
      </c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9" t="s">
        <v>69</v>
      </c>
      <c r="AR2" s="17" t="s">
        <v>72</v>
      </c>
      <c r="AS2" s="20" t="n">
        <f aca="false">AVERAGE(AV2,BB2,BH2)</f>
        <v>0.266666666666667</v>
      </c>
      <c r="AT2" s="21" t="n">
        <f aca="false">(AS2*1.3)</f>
        <v>0.346666666666667</v>
      </c>
      <c r="AU2" s="22" t="s">
        <v>73</v>
      </c>
      <c r="AV2" s="20" t="n">
        <v>0.25</v>
      </c>
      <c r="AW2" s="23" t="s">
        <v>74</v>
      </c>
      <c r="AX2" s="24" t="s">
        <v>75</v>
      </c>
      <c r="AY2" s="17" t="s">
        <v>76</v>
      </c>
      <c r="AZ2" s="25" t="n">
        <v>44995</v>
      </c>
      <c r="BA2" s="26" t="s">
        <v>77</v>
      </c>
      <c r="BB2" s="20" t="n">
        <v>0.2</v>
      </c>
      <c r="BC2" s="23" t="s">
        <v>78</v>
      </c>
      <c r="BD2" s="24" t="s">
        <v>79</v>
      </c>
      <c r="BE2" s="17" t="s">
        <v>76</v>
      </c>
      <c r="BF2" s="25" t="n">
        <v>44995</v>
      </c>
      <c r="BG2" s="27" t="s">
        <v>80</v>
      </c>
      <c r="BH2" s="20" t="n">
        <v>0.35</v>
      </c>
      <c r="BI2" s="23" t="s">
        <v>81</v>
      </c>
      <c r="BJ2" s="24" t="s">
        <v>82</v>
      </c>
      <c r="BK2" s="17" t="s">
        <v>76</v>
      </c>
      <c r="BL2" s="25" t="n">
        <v>44991</v>
      </c>
    </row>
    <row r="3" customFormat="false" ht="406.5" hidden="false" customHeight="false" outlineLevel="0" collapsed="false">
      <c r="A3" s="28" t="s">
        <v>22</v>
      </c>
      <c r="B3" s="28" t="s">
        <v>83</v>
      </c>
      <c r="C3" s="29" t="s">
        <v>84</v>
      </c>
      <c r="D3" s="30" t="s">
        <v>65</v>
      </c>
      <c r="E3" s="30" t="s">
        <v>66</v>
      </c>
      <c r="F3" s="30" t="n">
        <v>500</v>
      </c>
      <c r="G3" s="30" t="n">
        <v>500</v>
      </c>
      <c r="H3" s="31" t="n">
        <v>0.14</v>
      </c>
      <c r="I3" s="31" t="n">
        <v>70</v>
      </c>
      <c r="J3" s="32" t="s">
        <v>85</v>
      </c>
      <c r="K3" s="33" t="n">
        <v>2</v>
      </c>
      <c r="L3" s="33" t="s">
        <v>68</v>
      </c>
      <c r="M3" s="33" t="n">
        <v>21000000076</v>
      </c>
      <c r="N3" s="34" t="s">
        <v>86</v>
      </c>
      <c r="O3" s="33" t="s">
        <v>70</v>
      </c>
      <c r="P3" s="33" t="n">
        <f aca="false">SUM(R3:AP3)</f>
        <v>3500</v>
      </c>
      <c r="Q3" s="33" t="s">
        <v>71</v>
      </c>
      <c r="R3" s="33"/>
      <c r="S3" s="33" t="n">
        <v>3000</v>
      </c>
      <c r="T3" s="33"/>
      <c r="U3" s="33"/>
      <c r="V3" s="33"/>
      <c r="W3" s="33" t="n">
        <v>500</v>
      </c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5" t="s">
        <v>86</v>
      </c>
      <c r="AR3" s="33" t="s">
        <v>72</v>
      </c>
      <c r="AS3" s="36" t="n">
        <f aca="false">AVERAGE(AV3,BB3,BH3)</f>
        <v>0.173333333333333</v>
      </c>
      <c r="AT3" s="21" t="n">
        <f aca="false">(AS3*1.3)</f>
        <v>0.225333333333333</v>
      </c>
      <c r="AU3" s="37" t="s">
        <v>87</v>
      </c>
      <c r="AV3" s="36" t="n">
        <v>0.2</v>
      </c>
      <c r="AW3" s="38" t="s">
        <v>88</v>
      </c>
      <c r="AX3" s="39" t="s">
        <v>89</v>
      </c>
      <c r="AY3" s="33" t="s">
        <v>90</v>
      </c>
      <c r="AZ3" s="40" t="n">
        <v>44995</v>
      </c>
      <c r="BA3" s="41" t="s">
        <v>91</v>
      </c>
      <c r="BB3" s="36" t="n">
        <v>0.18</v>
      </c>
      <c r="BC3" s="38" t="s">
        <v>92</v>
      </c>
      <c r="BD3" s="39" t="s">
        <v>93</v>
      </c>
      <c r="BE3" s="33" t="s">
        <v>94</v>
      </c>
      <c r="BF3" s="40" t="n">
        <v>44995</v>
      </c>
      <c r="BG3" s="27" t="s">
        <v>95</v>
      </c>
      <c r="BH3" s="36" t="n">
        <v>0.14</v>
      </c>
      <c r="BI3" s="38" t="s">
        <v>96</v>
      </c>
      <c r="BJ3" s="39" t="s">
        <v>97</v>
      </c>
      <c r="BK3" s="33" t="s">
        <v>98</v>
      </c>
      <c r="BL3" s="40" t="n">
        <v>44991</v>
      </c>
    </row>
    <row r="4" customFormat="false" ht="429" hidden="false" customHeight="false" outlineLevel="0" collapsed="false">
      <c r="A4" s="12" t="s">
        <v>19</v>
      </c>
      <c r="B4" s="12" t="s">
        <v>99</v>
      </c>
      <c r="C4" s="13" t="s">
        <v>100</v>
      </c>
      <c r="D4" s="14" t="s">
        <v>65</v>
      </c>
      <c r="E4" s="14" t="s">
        <v>66</v>
      </c>
      <c r="F4" s="14" t="n">
        <v>2</v>
      </c>
      <c r="G4" s="14" t="n">
        <v>2000</v>
      </c>
      <c r="H4" s="15" t="n">
        <v>79</v>
      </c>
      <c r="I4" s="15" t="n">
        <v>158</v>
      </c>
      <c r="J4" s="16" t="s">
        <v>101</v>
      </c>
      <c r="K4" s="17" t="n">
        <v>3</v>
      </c>
      <c r="L4" s="17" t="s">
        <v>68</v>
      </c>
      <c r="M4" s="17" t="n">
        <v>21000000003</v>
      </c>
      <c r="N4" s="18" t="s">
        <v>102</v>
      </c>
      <c r="O4" s="17" t="s">
        <v>70</v>
      </c>
      <c r="P4" s="17" t="n">
        <f aca="false">SUM(R4:AP4)</f>
        <v>3000</v>
      </c>
      <c r="Q4" s="17" t="s">
        <v>71</v>
      </c>
      <c r="R4" s="17"/>
      <c r="S4" s="17"/>
      <c r="T4" s="17" t="n">
        <v>2000</v>
      </c>
      <c r="U4" s="17"/>
      <c r="V4" s="17"/>
      <c r="W4" s="17" t="n">
        <v>1000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9" t="s">
        <v>102</v>
      </c>
      <c r="AR4" s="17" t="s">
        <v>72</v>
      </c>
      <c r="AS4" s="20" t="n">
        <f aca="false">AVERAGE(AV4,BB4,BH4)</f>
        <v>0.153333333333333</v>
      </c>
      <c r="AT4" s="21" t="n">
        <f aca="false">(AS4*1.3)</f>
        <v>0.199333333333333</v>
      </c>
      <c r="AU4" s="37" t="s">
        <v>87</v>
      </c>
      <c r="AV4" s="20" t="n">
        <v>0.15</v>
      </c>
      <c r="AW4" s="23" t="s">
        <v>103</v>
      </c>
      <c r="AX4" s="24" t="s">
        <v>89</v>
      </c>
      <c r="AY4" s="17" t="s">
        <v>90</v>
      </c>
      <c r="AZ4" s="25" t="n">
        <v>44995</v>
      </c>
      <c r="BA4" s="41" t="s">
        <v>104</v>
      </c>
      <c r="BB4" s="20" t="n">
        <v>0.19</v>
      </c>
      <c r="BC4" s="23" t="s">
        <v>105</v>
      </c>
      <c r="BD4" s="24" t="s">
        <v>106</v>
      </c>
      <c r="BE4" s="17" t="s">
        <v>90</v>
      </c>
      <c r="BF4" s="25" t="n">
        <v>44995</v>
      </c>
      <c r="BG4" s="27" t="s">
        <v>107</v>
      </c>
      <c r="BH4" s="20" t="n">
        <v>0.12</v>
      </c>
      <c r="BI4" s="23" t="s">
        <v>108</v>
      </c>
      <c r="BJ4" s="42" t="s">
        <v>109</v>
      </c>
      <c r="BK4" s="17" t="s">
        <v>110</v>
      </c>
      <c r="BL4" s="25" t="n">
        <v>44991</v>
      </c>
    </row>
    <row r="5" customFormat="false" ht="305.25" hidden="false" customHeight="false" outlineLevel="0" collapsed="false">
      <c r="A5" s="28" t="s">
        <v>38</v>
      </c>
      <c r="B5" s="28" t="s">
        <v>111</v>
      </c>
      <c r="C5" s="29" t="s">
        <v>112</v>
      </c>
      <c r="D5" s="30" t="s">
        <v>65</v>
      </c>
      <c r="E5" s="30" t="s">
        <v>66</v>
      </c>
      <c r="F5" s="30" t="n">
        <v>6</v>
      </c>
      <c r="G5" s="30" t="n">
        <v>5</v>
      </c>
      <c r="H5" s="31" t="n">
        <v>29.54</v>
      </c>
      <c r="I5" s="31" t="n">
        <v>147.7</v>
      </c>
      <c r="J5" s="38" t="s">
        <v>113</v>
      </c>
      <c r="K5" s="33" t="n">
        <v>4</v>
      </c>
      <c r="L5" s="33" t="s">
        <v>68</v>
      </c>
      <c r="M5" s="33" t="n">
        <v>21000000005</v>
      </c>
      <c r="N5" s="34" t="s">
        <v>114</v>
      </c>
      <c r="O5" s="33" t="s">
        <v>115</v>
      </c>
      <c r="P5" s="33" t="n">
        <f aca="false">SUM(R5:AP5)</f>
        <v>5</v>
      </c>
      <c r="Q5" s="33" t="s">
        <v>71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0" t="n">
        <v>5</v>
      </c>
      <c r="AN5" s="33"/>
      <c r="AO5" s="33"/>
      <c r="AP5" s="33"/>
      <c r="AQ5" s="35" t="s">
        <v>114</v>
      </c>
      <c r="AR5" s="33" t="s">
        <v>72</v>
      </c>
      <c r="AS5" s="36" t="n">
        <f aca="false">AVERAGE(AV5,BB5,BH5)</f>
        <v>76.22</v>
      </c>
      <c r="AT5" s="21" t="n">
        <f aca="false">(AS5*1.3)</f>
        <v>99.086</v>
      </c>
      <c r="AU5" s="37" t="s">
        <v>107</v>
      </c>
      <c r="AV5" s="36" t="n">
        <v>67.44</v>
      </c>
      <c r="AW5" s="38" t="s">
        <v>116</v>
      </c>
      <c r="AX5" s="39" t="s">
        <v>109</v>
      </c>
      <c r="AY5" s="33" t="s">
        <v>110</v>
      </c>
      <c r="AZ5" s="40" t="n">
        <v>44995</v>
      </c>
      <c r="BA5" s="43" t="s">
        <v>117</v>
      </c>
      <c r="BB5" s="36" t="n">
        <v>85</v>
      </c>
      <c r="BC5" s="38" t="s">
        <v>118</v>
      </c>
      <c r="BD5" s="39" t="s">
        <v>119</v>
      </c>
      <c r="BE5" s="33" t="s">
        <v>120</v>
      </c>
      <c r="BF5" s="40" t="n">
        <v>44995</v>
      </c>
      <c r="BG5" s="11"/>
      <c r="BH5" s="36"/>
      <c r="BI5" s="33"/>
      <c r="BJ5" s="33"/>
      <c r="BK5" s="33"/>
      <c r="BL5" s="33"/>
    </row>
    <row r="6" customFormat="false" ht="462.75" hidden="false" customHeight="false" outlineLevel="0" collapsed="false">
      <c r="A6" s="12" t="s">
        <v>22</v>
      </c>
      <c r="B6" s="12" t="s">
        <v>121</v>
      </c>
      <c r="C6" s="13" t="s">
        <v>122</v>
      </c>
      <c r="D6" s="14" t="s">
        <v>65</v>
      </c>
      <c r="E6" s="14" t="s">
        <v>66</v>
      </c>
      <c r="F6" s="14" t="n">
        <v>1000</v>
      </c>
      <c r="G6" s="14" t="n">
        <v>1000</v>
      </c>
      <c r="H6" s="15" t="n">
        <v>0.1</v>
      </c>
      <c r="I6" s="15" t="n">
        <v>100</v>
      </c>
      <c r="J6" s="16" t="s">
        <v>123</v>
      </c>
      <c r="K6" s="17" t="n">
        <v>5</v>
      </c>
      <c r="L6" s="17" t="s">
        <v>68</v>
      </c>
      <c r="M6" s="17" t="n">
        <v>21000000007</v>
      </c>
      <c r="N6" s="18" t="s">
        <v>124</v>
      </c>
      <c r="O6" s="17" t="s">
        <v>70</v>
      </c>
      <c r="P6" s="17" t="n">
        <f aca="false">SUM(R6:AP6)</f>
        <v>1000</v>
      </c>
      <c r="Q6" s="17" t="s">
        <v>71</v>
      </c>
      <c r="R6" s="17"/>
      <c r="S6" s="17"/>
      <c r="T6" s="17"/>
      <c r="U6" s="17"/>
      <c r="V6" s="17"/>
      <c r="W6" s="17" t="n">
        <v>1000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9" t="s">
        <v>124</v>
      </c>
      <c r="AR6" s="17" t="s">
        <v>72</v>
      </c>
      <c r="AS6" s="20" t="n">
        <f aca="false">AVERAGE(AV6,BB6,BH6)</f>
        <v>0.0663066666666667</v>
      </c>
      <c r="AT6" s="21" t="n">
        <f aca="false">(AS6*1.3)</f>
        <v>0.0861986666666667</v>
      </c>
      <c r="AU6" s="37" t="s">
        <v>125</v>
      </c>
      <c r="AV6" s="20" t="n">
        <f aca="false">33.08/500</f>
        <v>0.06616</v>
      </c>
      <c r="AW6" s="23" t="s">
        <v>126</v>
      </c>
      <c r="AX6" s="24" t="s">
        <v>127</v>
      </c>
      <c r="AY6" s="17" t="s">
        <v>110</v>
      </c>
      <c r="AZ6" s="25" t="n">
        <v>44995</v>
      </c>
      <c r="BA6" s="44" t="s">
        <v>128</v>
      </c>
      <c r="BB6" s="20" t="n">
        <f aca="false">23.9 /500</f>
        <v>0.0478</v>
      </c>
      <c r="BC6" s="16" t="s">
        <v>129</v>
      </c>
      <c r="BD6" s="45" t="s">
        <v>130</v>
      </c>
      <c r="BE6" s="17" t="s">
        <v>131</v>
      </c>
      <c r="BF6" s="25" t="n">
        <v>44995</v>
      </c>
      <c r="BG6" s="27" t="s">
        <v>132</v>
      </c>
      <c r="BH6" s="20" t="n">
        <f aca="false">42.48/500</f>
        <v>0.08496</v>
      </c>
      <c r="BI6" s="23" t="s">
        <v>133</v>
      </c>
      <c r="BJ6" s="24" t="s">
        <v>134</v>
      </c>
      <c r="BK6" s="17" t="s">
        <v>135</v>
      </c>
      <c r="BL6" s="25" t="n">
        <v>44991</v>
      </c>
    </row>
    <row r="7" customFormat="false" ht="327.75" hidden="false" customHeight="false" outlineLevel="0" collapsed="false">
      <c r="A7" s="28" t="s">
        <v>22</v>
      </c>
      <c r="B7" s="28" t="s">
        <v>136</v>
      </c>
      <c r="C7" s="29" t="s">
        <v>137</v>
      </c>
      <c r="D7" s="30" t="s">
        <v>65</v>
      </c>
      <c r="E7" s="30" t="s">
        <v>66</v>
      </c>
      <c r="F7" s="30" t="n">
        <v>50</v>
      </c>
      <c r="G7" s="30" t="n">
        <v>50</v>
      </c>
      <c r="H7" s="31" t="n">
        <v>33.33</v>
      </c>
      <c r="I7" s="31" t="n">
        <v>1666.5</v>
      </c>
      <c r="J7" s="32" t="s">
        <v>138</v>
      </c>
      <c r="K7" s="33" t="n">
        <v>6</v>
      </c>
      <c r="L7" s="33" t="s">
        <v>68</v>
      </c>
      <c r="M7" s="33" t="n">
        <v>21000000009</v>
      </c>
      <c r="N7" s="34" t="s">
        <v>139</v>
      </c>
      <c r="O7" s="33" t="s">
        <v>115</v>
      </c>
      <c r="P7" s="33" t="n">
        <f aca="false">SUM(R7:AP7)</f>
        <v>105</v>
      </c>
      <c r="Q7" s="33" t="s">
        <v>71</v>
      </c>
      <c r="R7" s="33"/>
      <c r="S7" s="33"/>
      <c r="T7" s="33"/>
      <c r="U7" s="33"/>
      <c r="V7" s="33"/>
      <c r="W7" s="33" t="n">
        <v>50</v>
      </c>
      <c r="X7" s="33"/>
      <c r="Y7" s="33"/>
      <c r="Z7" s="33"/>
      <c r="AA7" s="33"/>
      <c r="AB7" s="33" t="n">
        <v>2</v>
      </c>
      <c r="AC7" s="33"/>
      <c r="AD7" s="33"/>
      <c r="AE7" s="33"/>
      <c r="AF7" s="33"/>
      <c r="AG7" s="33"/>
      <c r="AH7" s="33"/>
      <c r="AI7" s="33"/>
      <c r="AJ7" s="33" t="n">
        <v>1</v>
      </c>
      <c r="AK7" s="33"/>
      <c r="AL7" s="33"/>
      <c r="AM7" s="33"/>
      <c r="AN7" s="33" t="n">
        <v>15</v>
      </c>
      <c r="AO7" s="33" t="n">
        <v>17</v>
      </c>
      <c r="AP7" s="33" t="n">
        <v>20</v>
      </c>
      <c r="AQ7" s="35" t="s">
        <v>139</v>
      </c>
      <c r="AR7" s="33" t="s">
        <v>72</v>
      </c>
      <c r="AS7" s="36" t="n">
        <f aca="false">AVERAGE(AV7,BB7,BH7)</f>
        <v>65.2566666666667</v>
      </c>
      <c r="AT7" s="21" t="n">
        <f aca="false">(AS7*1.3)</f>
        <v>84.8336666666667</v>
      </c>
      <c r="AU7" s="37" t="s">
        <v>140</v>
      </c>
      <c r="AV7" s="36" t="n">
        <v>65.97</v>
      </c>
      <c r="AW7" s="38" t="s">
        <v>141</v>
      </c>
      <c r="AX7" s="39" t="s">
        <v>142</v>
      </c>
      <c r="AY7" s="33" t="s">
        <v>135</v>
      </c>
      <c r="AZ7" s="40" t="n">
        <v>44995</v>
      </c>
      <c r="BA7" s="41" t="s">
        <v>107</v>
      </c>
      <c r="BB7" s="36" t="n">
        <v>54.8</v>
      </c>
      <c r="BC7" s="46" t="s">
        <v>143</v>
      </c>
      <c r="BD7" s="39" t="s">
        <v>109</v>
      </c>
      <c r="BE7" s="33" t="s">
        <v>110</v>
      </c>
      <c r="BF7" s="40" t="n">
        <v>44995</v>
      </c>
      <c r="BG7" s="27" t="s">
        <v>144</v>
      </c>
      <c r="BH7" s="36" t="n">
        <v>75</v>
      </c>
      <c r="BI7" s="38" t="s">
        <v>145</v>
      </c>
      <c r="BJ7" s="39" t="s">
        <v>146</v>
      </c>
      <c r="BK7" s="33" t="s">
        <v>135</v>
      </c>
      <c r="BL7" s="40" t="n">
        <v>44991</v>
      </c>
    </row>
    <row r="8" customFormat="false" ht="350.25" hidden="false" customHeight="false" outlineLevel="0" collapsed="false">
      <c r="A8" s="12" t="s">
        <v>22</v>
      </c>
      <c r="B8" s="12" t="s">
        <v>147</v>
      </c>
      <c r="C8" s="13" t="s">
        <v>148</v>
      </c>
      <c r="D8" s="14" t="s">
        <v>65</v>
      </c>
      <c r="E8" s="14" t="s">
        <v>66</v>
      </c>
      <c r="F8" s="14" t="n">
        <v>21</v>
      </c>
      <c r="G8" s="14" t="n">
        <v>21</v>
      </c>
      <c r="H8" s="15" t="n">
        <v>53</v>
      </c>
      <c r="I8" s="15" t="n">
        <v>1113</v>
      </c>
      <c r="J8" s="16" t="s">
        <v>149</v>
      </c>
      <c r="K8" s="17" t="n">
        <v>7</v>
      </c>
      <c r="L8" s="17" t="s">
        <v>68</v>
      </c>
      <c r="M8" s="17" t="n">
        <v>21000000008</v>
      </c>
      <c r="N8" s="18" t="s">
        <v>150</v>
      </c>
      <c r="O8" s="17" t="s">
        <v>115</v>
      </c>
      <c r="P8" s="17" t="n">
        <f aca="false">SUM(R8:AP8)</f>
        <v>21</v>
      </c>
      <c r="Q8" s="17" t="s">
        <v>71</v>
      </c>
      <c r="R8" s="17"/>
      <c r="S8" s="17"/>
      <c r="T8" s="17"/>
      <c r="U8" s="17"/>
      <c r="V8" s="17"/>
      <c r="W8" s="17" t="n">
        <v>21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9" t="s">
        <v>150</v>
      </c>
      <c r="AR8" s="17"/>
      <c r="AS8" s="20" t="e">
        <f aca="false">AVERAGE(AV8,BB8,BH8)</f>
        <v>#DIV/0!</v>
      </c>
      <c r="AT8" s="47" t="e">
        <f aca="false">(AS8*1.3)</f>
        <v>#DIV/0!</v>
      </c>
      <c r="AU8" s="7"/>
      <c r="AV8" s="20"/>
      <c r="AW8" s="17"/>
      <c r="AX8" s="17"/>
      <c r="AY8" s="17"/>
      <c r="AZ8" s="17"/>
      <c r="BA8" s="10"/>
      <c r="BB8" s="20"/>
      <c r="BC8" s="17"/>
      <c r="BD8" s="17"/>
      <c r="BE8" s="17"/>
      <c r="BF8" s="17"/>
      <c r="BG8" s="11"/>
      <c r="BH8" s="20"/>
      <c r="BI8" s="17"/>
      <c r="BJ8" s="17"/>
      <c r="BK8" s="17"/>
      <c r="BL8" s="17"/>
    </row>
    <row r="9" customFormat="false" ht="339" hidden="false" customHeight="false" outlineLevel="0" collapsed="false">
      <c r="A9" s="28" t="s">
        <v>22</v>
      </c>
      <c r="B9" s="28" t="s">
        <v>151</v>
      </c>
      <c r="C9" s="29" t="s">
        <v>152</v>
      </c>
      <c r="D9" s="30" t="s">
        <v>65</v>
      </c>
      <c r="E9" s="30" t="s">
        <v>66</v>
      </c>
      <c r="F9" s="30" t="n">
        <v>20</v>
      </c>
      <c r="G9" s="30" t="n">
        <v>20</v>
      </c>
      <c r="H9" s="31" t="n">
        <v>100</v>
      </c>
      <c r="I9" s="31" t="n">
        <v>2000</v>
      </c>
      <c r="J9" s="32" t="s">
        <v>153</v>
      </c>
      <c r="K9" s="33" t="n">
        <v>8</v>
      </c>
      <c r="L9" s="33" t="s">
        <v>68</v>
      </c>
      <c r="M9" s="33" t="n">
        <v>21000000011</v>
      </c>
      <c r="N9" s="34" t="s">
        <v>154</v>
      </c>
      <c r="O9" s="33" t="s">
        <v>115</v>
      </c>
      <c r="P9" s="33" t="n">
        <f aca="false">SUM(R9:AP9)</f>
        <v>22</v>
      </c>
      <c r="Q9" s="33" t="s">
        <v>71</v>
      </c>
      <c r="R9" s="33"/>
      <c r="S9" s="33"/>
      <c r="T9" s="33"/>
      <c r="U9" s="33"/>
      <c r="V9" s="33"/>
      <c r="W9" s="33" t="n">
        <v>20</v>
      </c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 t="n">
        <v>2</v>
      </c>
      <c r="AJ9" s="33"/>
      <c r="AK9" s="33"/>
      <c r="AL9" s="33"/>
      <c r="AM9" s="33"/>
      <c r="AN9" s="33"/>
      <c r="AO9" s="33"/>
      <c r="AP9" s="33"/>
      <c r="AQ9" s="35" t="s">
        <v>154</v>
      </c>
      <c r="AR9" s="33" t="s">
        <v>155</v>
      </c>
      <c r="AS9" s="36" t="n">
        <f aca="false">AVERAGE(AV9,BB9,BH9)</f>
        <v>224.425</v>
      </c>
      <c r="AT9" s="21" t="n">
        <f aca="false">(AS9*1.3)</f>
        <v>291.7525</v>
      </c>
      <c r="AU9" s="48" t="s">
        <v>128</v>
      </c>
      <c r="AV9" s="36" t="n">
        <v>198.85</v>
      </c>
      <c r="AW9" s="32" t="s">
        <v>156</v>
      </c>
      <c r="AX9" s="49" t="s">
        <v>130</v>
      </c>
      <c r="AY9" s="33" t="s">
        <v>131</v>
      </c>
      <c r="AZ9" s="40" t="n">
        <v>44995</v>
      </c>
      <c r="BA9" s="44" t="s">
        <v>157</v>
      </c>
      <c r="BB9" s="36" t="n">
        <v>250</v>
      </c>
      <c r="BC9" s="38" t="s">
        <v>158</v>
      </c>
      <c r="BD9" s="33" t="s">
        <v>159</v>
      </c>
      <c r="BE9" s="33" t="s">
        <v>76</v>
      </c>
      <c r="BF9" s="40" t="n">
        <v>44995</v>
      </c>
      <c r="BG9" s="11"/>
      <c r="BH9" s="36"/>
      <c r="BI9" s="33"/>
      <c r="BJ9" s="33"/>
      <c r="BK9" s="33"/>
      <c r="BL9" s="33"/>
    </row>
    <row r="10" customFormat="false" ht="350.25" hidden="false" customHeight="false" outlineLevel="0" collapsed="false">
      <c r="A10" s="12" t="s">
        <v>22</v>
      </c>
      <c r="B10" s="12" t="s">
        <v>160</v>
      </c>
      <c r="C10" s="13" t="s">
        <v>161</v>
      </c>
      <c r="D10" s="14" t="s">
        <v>65</v>
      </c>
      <c r="E10" s="14" t="s">
        <v>66</v>
      </c>
      <c r="F10" s="14" t="n">
        <v>13</v>
      </c>
      <c r="G10" s="14" t="n">
        <v>13</v>
      </c>
      <c r="H10" s="15" t="n">
        <v>21</v>
      </c>
      <c r="I10" s="15" t="n">
        <v>273</v>
      </c>
      <c r="J10" s="16" t="s">
        <v>162</v>
      </c>
      <c r="K10" s="17" t="n">
        <v>9</v>
      </c>
      <c r="L10" s="17" t="s">
        <v>68</v>
      </c>
      <c r="M10" s="17" t="n">
        <v>21000000013</v>
      </c>
      <c r="N10" s="18" t="s">
        <v>163</v>
      </c>
      <c r="O10" s="17" t="s">
        <v>115</v>
      </c>
      <c r="P10" s="17" t="n">
        <f aca="false">SUM(R10:AP10)</f>
        <v>29</v>
      </c>
      <c r="Q10" s="17" t="s">
        <v>71</v>
      </c>
      <c r="R10" s="17"/>
      <c r="S10" s="17"/>
      <c r="T10" s="17"/>
      <c r="U10" s="17"/>
      <c r="V10" s="17"/>
      <c r="W10" s="17" t="n">
        <v>13</v>
      </c>
      <c r="X10" s="17"/>
      <c r="Y10" s="17"/>
      <c r="Z10" s="17"/>
      <c r="AA10" s="17"/>
      <c r="AB10" s="17" t="n">
        <v>10</v>
      </c>
      <c r="AC10" s="17"/>
      <c r="AD10" s="17"/>
      <c r="AE10" s="17"/>
      <c r="AF10" s="17"/>
      <c r="AG10" s="17"/>
      <c r="AH10" s="17"/>
      <c r="AI10" s="17"/>
      <c r="AJ10" s="17"/>
      <c r="AK10" s="17" t="n">
        <v>6</v>
      </c>
      <c r="AL10" s="17"/>
      <c r="AM10" s="17"/>
      <c r="AN10" s="17"/>
      <c r="AO10" s="17"/>
      <c r="AP10" s="17"/>
      <c r="AQ10" s="19" t="s">
        <v>163</v>
      </c>
      <c r="AR10" s="17" t="s">
        <v>72</v>
      </c>
      <c r="AS10" s="20" t="n">
        <f aca="false">AVERAGE(AV10,BB10,BH10)</f>
        <v>80.52</v>
      </c>
      <c r="AT10" s="21" t="n">
        <f aca="false">(AS10*1.3)</f>
        <v>104.676</v>
      </c>
      <c r="AU10" s="37" t="s">
        <v>125</v>
      </c>
      <c r="AV10" s="20" t="n">
        <v>81.18</v>
      </c>
      <c r="AW10" s="23" t="s">
        <v>164</v>
      </c>
      <c r="AX10" s="24" t="s">
        <v>127</v>
      </c>
      <c r="AY10" s="17" t="s">
        <v>110</v>
      </c>
      <c r="AZ10" s="25" t="n">
        <v>44995</v>
      </c>
      <c r="BA10" s="41" t="s">
        <v>107</v>
      </c>
      <c r="BB10" s="20" t="n">
        <v>62.38</v>
      </c>
      <c r="BC10" s="50" t="s">
        <v>165</v>
      </c>
      <c r="BD10" s="24" t="s">
        <v>109</v>
      </c>
      <c r="BE10" s="17" t="s">
        <v>110</v>
      </c>
      <c r="BF10" s="25" t="n">
        <v>44991</v>
      </c>
      <c r="BG10" s="51" t="s">
        <v>117</v>
      </c>
      <c r="BH10" s="20" t="n">
        <v>98</v>
      </c>
      <c r="BI10" s="23" t="s">
        <v>166</v>
      </c>
      <c r="BJ10" s="24" t="s">
        <v>119</v>
      </c>
      <c r="BK10" s="52" t="s">
        <v>119</v>
      </c>
      <c r="BL10" s="25" t="n">
        <v>44991</v>
      </c>
    </row>
    <row r="11" customFormat="false" ht="451.5" hidden="false" customHeight="false" outlineLevel="0" collapsed="false">
      <c r="A11" s="28" t="s">
        <v>22</v>
      </c>
      <c r="B11" s="28" t="s">
        <v>167</v>
      </c>
      <c r="C11" s="29" t="s">
        <v>168</v>
      </c>
      <c r="D11" s="30" t="s">
        <v>65</v>
      </c>
      <c r="E11" s="30" t="s">
        <v>66</v>
      </c>
      <c r="F11" s="30" t="n">
        <v>1</v>
      </c>
      <c r="G11" s="30" t="n">
        <v>500</v>
      </c>
      <c r="H11" s="31" t="n">
        <v>246.74</v>
      </c>
      <c r="I11" s="31" t="n">
        <v>246.74</v>
      </c>
      <c r="J11" s="32" t="s">
        <v>169</v>
      </c>
      <c r="K11" s="33" t="n">
        <v>10</v>
      </c>
      <c r="L11" s="33" t="s">
        <v>68</v>
      </c>
      <c r="M11" s="33" t="n">
        <v>21000000288</v>
      </c>
      <c r="N11" s="34" t="s">
        <v>170</v>
      </c>
      <c r="O11" s="33" t="s">
        <v>70</v>
      </c>
      <c r="P11" s="33" t="n">
        <f aca="false">SUM(R11:AP11)</f>
        <v>1000</v>
      </c>
      <c r="Q11" s="33" t="s">
        <v>71</v>
      </c>
      <c r="R11" s="33"/>
      <c r="S11" s="33"/>
      <c r="T11" s="33"/>
      <c r="U11" s="33"/>
      <c r="V11" s="33"/>
      <c r="W11" s="33" t="n">
        <v>500</v>
      </c>
      <c r="X11" s="33"/>
      <c r="Y11" s="33"/>
      <c r="Z11" s="33"/>
      <c r="AA11" s="33" t="n">
        <v>500</v>
      </c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5" t="s">
        <v>170</v>
      </c>
      <c r="AR11" s="33" t="s">
        <v>72</v>
      </c>
      <c r="AS11" s="36" t="n">
        <f aca="false">AVERAGE(AV11,BB11,BH11)</f>
        <v>0.187313333333333</v>
      </c>
      <c r="AT11" s="21" t="n">
        <f aca="false">(AS11*1.3)</f>
        <v>0.243507333333333</v>
      </c>
      <c r="AU11" s="37" t="s">
        <v>171</v>
      </c>
      <c r="AV11" s="36" t="n">
        <f aca="false">72/500</f>
        <v>0.144</v>
      </c>
      <c r="AW11" s="38" t="s">
        <v>172</v>
      </c>
      <c r="AX11" s="39" t="s">
        <v>173</v>
      </c>
      <c r="AY11" s="33" t="s">
        <v>174</v>
      </c>
      <c r="AZ11" s="40" t="n">
        <v>44995</v>
      </c>
      <c r="BA11" s="41" t="s">
        <v>175</v>
      </c>
      <c r="BB11" s="36" t="n">
        <f aca="false">123/500</f>
        <v>0.246</v>
      </c>
      <c r="BC11" s="38" t="s">
        <v>176</v>
      </c>
      <c r="BD11" s="39" t="s">
        <v>177</v>
      </c>
      <c r="BE11" s="33" t="s">
        <v>94</v>
      </c>
      <c r="BF11" s="40" t="n">
        <v>44991</v>
      </c>
      <c r="BG11" s="27" t="s">
        <v>128</v>
      </c>
      <c r="BH11" s="36" t="n">
        <f aca="false">85.97/500</f>
        <v>0.17194</v>
      </c>
      <c r="BI11" s="38" t="s">
        <v>178</v>
      </c>
      <c r="BJ11" s="39" t="s">
        <v>179</v>
      </c>
      <c r="BK11" s="33" t="s">
        <v>131</v>
      </c>
      <c r="BL11" s="40" t="n">
        <v>44991</v>
      </c>
    </row>
    <row r="12" customFormat="false" ht="451.5" hidden="false" customHeight="false" outlineLevel="0" collapsed="false">
      <c r="A12" s="12" t="s">
        <v>22</v>
      </c>
      <c r="B12" s="12" t="s">
        <v>180</v>
      </c>
      <c r="C12" s="13" t="s">
        <v>181</v>
      </c>
      <c r="D12" s="14" t="s">
        <v>65</v>
      </c>
      <c r="E12" s="14" t="s">
        <v>66</v>
      </c>
      <c r="F12" s="14" t="n">
        <v>500</v>
      </c>
      <c r="G12" s="14" t="n">
        <v>500</v>
      </c>
      <c r="H12" s="15" t="n">
        <v>40</v>
      </c>
      <c r="I12" s="15" t="n">
        <v>20000</v>
      </c>
      <c r="J12" s="23" t="s">
        <v>182</v>
      </c>
      <c r="K12" s="17" t="n">
        <v>11</v>
      </c>
      <c r="L12" s="17" t="s">
        <v>68</v>
      </c>
      <c r="M12" s="17" t="n">
        <v>21000000015</v>
      </c>
      <c r="N12" s="18" t="s">
        <v>183</v>
      </c>
      <c r="O12" s="17" t="s">
        <v>70</v>
      </c>
      <c r="P12" s="17" t="n">
        <f aca="false">SUM(R12:AP12)</f>
        <v>500</v>
      </c>
      <c r="Q12" s="17" t="s">
        <v>71</v>
      </c>
      <c r="R12" s="17"/>
      <c r="S12" s="17"/>
      <c r="T12" s="17"/>
      <c r="U12" s="17"/>
      <c r="V12" s="17"/>
      <c r="W12" s="17" t="n">
        <v>500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9" t="s">
        <v>183</v>
      </c>
      <c r="AR12" s="17" t="s">
        <v>72</v>
      </c>
      <c r="AS12" s="20" t="n">
        <f aca="false">AVERAGE(AV12,BB12,BH12)</f>
        <v>0.94946</v>
      </c>
      <c r="AT12" s="21" t="n">
        <f aca="false">(AS12*1.3)</f>
        <v>1.234298</v>
      </c>
      <c r="AU12" s="37" t="s">
        <v>107</v>
      </c>
      <c r="AV12" s="20" t="n">
        <f aca="false">37.46/500</f>
        <v>0.07492</v>
      </c>
      <c r="AW12" s="23" t="s">
        <v>184</v>
      </c>
      <c r="AX12" s="24" t="s">
        <v>109</v>
      </c>
      <c r="AY12" s="17" t="s">
        <v>110</v>
      </c>
      <c r="AZ12" s="25" t="n">
        <v>44995</v>
      </c>
      <c r="BA12" s="10" t="s">
        <v>185</v>
      </c>
      <c r="BB12" s="20" t="n">
        <v>1.824</v>
      </c>
      <c r="BC12" s="53" t="s">
        <v>186</v>
      </c>
      <c r="BD12" s="54" t="s">
        <v>187</v>
      </c>
      <c r="BE12" s="17" t="s">
        <v>188</v>
      </c>
      <c r="BF12" s="55" t="n">
        <v>45008</v>
      </c>
      <c r="BG12" s="11"/>
      <c r="BH12" s="20"/>
      <c r="BI12" s="17"/>
      <c r="BJ12" s="17"/>
      <c r="BK12" s="17"/>
      <c r="BL12" s="17"/>
    </row>
    <row r="13" customFormat="false" ht="440.25" hidden="false" customHeight="false" outlineLevel="0" collapsed="false">
      <c r="A13" s="28" t="s">
        <v>22</v>
      </c>
      <c r="B13" s="28" t="s">
        <v>189</v>
      </c>
      <c r="C13" s="29" t="s">
        <v>190</v>
      </c>
      <c r="D13" s="30" t="s">
        <v>65</v>
      </c>
      <c r="E13" s="30" t="s">
        <v>66</v>
      </c>
      <c r="F13" s="30" t="n">
        <v>5000</v>
      </c>
      <c r="G13" s="30" t="n">
        <v>5000</v>
      </c>
      <c r="H13" s="31" t="n">
        <v>0.25</v>
      </c>
      <c r="I13" s="31" t="n">
        <v>1251</v>
      </c>
      <c r="J13" s="32" t="s">
        <v>191</v>
      </c>
      <c r="K13" s="33" t="n">
        <v>12</v>
      </c>
      <c r="L13" s="33" t="s">
        <v>68</v>
      </c>
      <c r="M13" s="33" t="n">
        <v>21000000016</v>
      </c>
      <c r="N13" s="34" t="s">
        <v>192</v>
      </c>
      <c r="O13" s="33" t="s">
        <v>70</v>
      </c>
      <c r="P13" s="33" t="n">
        <f aca="false">SUM(R13:AP13)</f>
        <v>22000</v>
      </c>
      <c r="Q13" s="33" t="s">
        <v>71</v>
      </c>
      <c r="R13" s="33"/>
      <c r="S13" s="33"/>
      <c r="T13" s="33"/>
      <c r="U13" s="33"/>
      <c r="V13" s="33"/>
      <c r="W13" s="33" t="n">
        <v>5000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 t="n">
        <v>2000</v>
      </c>
      <c r="AP13" s="33" t="n">
        <v>15000</v>
      </c>
      <c r="AQ13" s="35" t="s">
        <v>192</v>
      </c>
      <c r="AR13" s="33" t="s">
        <v>72</v>
      </c>
      <c r="AS13" s="36" t="n">
        <f aca="false">AVERAGE(AV13,BB13,BH13)</f>
        <v>0.07014</v>
      </c>
      <c r="AT13" s="21" t="n">
        <f aca="false">(AS13*1.3)</f>
        <v>0.091182</v>
      </c>
      <c r="AU13" s="37" t="s">
        <v>107</v>
      </c>
      <c r="AV13" s="36" t="n">
        <f aca="false">33.82/500</f>
        <v>0.06764</v>
      </c>
      <c r="AW13" s="38" t="s">
        <v>193</v>
      </c>
      <c r="AX13" s="39" t="s">
        <v>109</v>
      </c>
      <c r="AY13" s="33" t="s">
        <v>110</v>
      </c>
      <c r="AZ13" s="40" t="n">
        <v>44995</v>
      </c>
      <c r="BA13" s="41" t="s">
        <v>125</v>
      </c>
      <c r="BB13" s="36" t="n">
        <f aca="false">33.89/500</f>
        <v>0.06778</v>
      </c>
      <c r="BC13" s="38" t="s">
        <v>194</v>
      </c>
      <c r="BD13" s="39" t="s">
        <v>127</v>
      </c>
      <c r="BE13" s="33" t="s">
        <v>110</v>
      </c>
      <c r="BF13" s="40" t="n">
        <v>44995</v>
      </c>
      <c r="BG13" s="51" t="s">
        <v>117</v>
      </c>
      <c r="BH13" s="36" t="n">
        <f aca="false">37.5/500</f>
        <v>0.075</v>
      </c>
      <c r="BI13" s="38" t="s">
        <v>195</v>
      </c>
      <c r="BJ13" s="39" t="s">
        <v>119</v>
      </c>
      <c r="BK13" s="39" t="s">
        <v>119</v>
      </c>
      <c r="BL13" s="40" t="n">
        <v>44995</v>
      </c>
    </row>
    <row r="14" customFormat="false" ht="192.75" hidden="false" customHeight="false" outlineLevel="0" collapsed="false">
      <c r="A14" s="12" t="s">
        <v>22</v>
      </c>
      <c r="B14" s="12" t="s">
        <v>196</v>
      </c>
      <c r="C14" s="13" t="s">
        <v>197</v>
      </c>
      <c r="D14" s="14" t="s">
        <v>65</v>
      </c>
      <c r="E14" s="14" t="s">
        <v>66</v>
      </c>
      <c r="F14" s="14" t="n">
        <v>25</v>
      </c>
      <c r="G14" s="14" t="n">
        <v>25</v>
      </c>
      <c r="H14" s="15" t="n">
        <v>60</v>
      </c>
      <c r="I14" s="15" t="n">
        <v>1500</v>
      </c>
      <c r="J14" s="16" t="s">
        <v>198</v>
      </c>
      <c r="K14" s="17" t="n">
        <v>13</v>
      </c>
      <c r="L14" s="17" t="s">
        <v>68</v>
      </c>
      <c r="M14" s="17" t="n">
        <v>21000000266</v>
      </c>
      <c r="N14" s="18" t="s">
        <v>199</v>
      </c>
      <c r="O14" s="17" t="s">
        <v>200</v>
      </c>
      <c r="P14" s="17" t="n">
        <f aca="false">SUM(R14:AP14)</f>
        <v>125</v>
      </c>
      <c r="Q14" s="17" t="s">
        <v>71</v>
      </c>
      <c r="R14" s="17"/>
      <c r="S14" s="17"/>
      <c r="T14" s="17"/>
      <c r="U14" s="17"/>
      <c r="V14" s="17"/>
      <c r="W14" s="17" t="n">
        <v>25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 t="n">
        <v>100</v>
      </c>
      <c r="AJ14" s="17"/>
      <c r="AK14" s="17"/>
      <c r="AL14" s="17"/>
      <c r="AM14" s="17"/>
      <c r="AN14" s="17"/>
      <c r="AO14" s="17"/>
      <c r="AP14" s="17"/>
      <c r="AQ14" s="19" t="s">
        <v>199</v>
      </c>
      <c r="AR14" s="17" t="s">
        <v>155</v>
      </c>
      <c r="AS14" s="20" t="n">
        <f aca="false">AVERAGE(AV14,BB14,BH14)</f>
        <v>101.223333333333</v>
      </c>
      <c r="AT14" s="21" t="n">
        <f aca="false">(AS14*1.3)</f>
        <v>131.590333333333</v>
      </c>
      <c r="AU14" s="48" t="s">
        <v>128</v>
      </c>
      <c r="AV14" s="20" t="n">
        <v>95.14</v>
      </c>
      <c r="AW14" s="23" t="s">
        <v>201</v>
      </c>
      <c r="AX14" s="45" t="s">
        <v>130</v>
      </c>
      <c r="AY14" s="17" t="s">
        <v>131</v>
      </c>
      <c r="AZ14" s="25" t="n">
        <v>44995</v>
      </c>
      <c r="BA14" s="44" t="s">
        <v>107</v>
      </c>
      <c r="BB14" s="20" t="n">
        <v>73.58</v>
      </c>
      <c r="BC14" s="23" t="s">
        <v>202</v>
      </c>
      <c r="BD14" s="45" t="s">
        <v>109</v>
      </c>
      <c r="BE14" s="17" t="s">
        <v>110</v>
      </c>
      <c r="BF14" s="25" t="n">
        <v>44995</v>
      </c>
      <c r="BG14" s="56" t="s">
        <v>157</v>
      </c>
      <c r="BH14" s="20" t="n">
        <f aca="false">26.99*5</f>
        <v>134.95</v>
      </c>
      <c r="BI14" s="23" t="s">
        <v>203</v>
      </c>
      <c r="BJ14" s="45" t="s">
        <v>159</v>
      </c>
      <c r="BK14" s="17" t="s">
        <v>76</v>
      </c>
      <c r="BL14" s="25" t="n">
        <v>45000</v>
      </c>
    </row>
    <row r="15" customFormat="false" ht="429" hidden="false" customHeight="false" outlineLevel="0" collapsed="false">
      <c r="A15" s="28" t="s">
        <v>22</v>
      </c>
      <c r="B15" s="28" t="s">
        <v>204</v>
      </c>
      <c r="C15" s="29" t="n">
        <v>351610</v>
      </c>
      <c r="D15" s="30" t="s">
        <v>65</v>
      </c>
      <c r="E15" s="30" t="s">
        <v>66</v>
      </c>
      <c r="F15" s="30" t="n">
        <v>500</v>
      </c>
      <c r="G15" s="30" t="n">
        <v>500</v>
      </c>
      <c r="H15" s="31" t="n">
        <v>0.04</v>
      </c>
      <c r="I15" s="31" t="n">
        <v>20</v>
      </c>
      <c r="J15" s="38" t="s">
        <v>205</v>
      </c>
      <c r="K15" s="33" t="n">
        <v>14</v>
      </c>
      <c r="L15" s="33" t="s">
        <v>68</v>
      </c>
      <c r="M15" s="33" t="n">
        <v>21000000017</v>
      </c>
      <c r="N15" s="34" t="s">
        <v>206</v>
      </c>
      <c r="O15" s="33" t="s">
        <v>70</v>
      </c>
      <c r="P15" s="33" t="n">
        <f aca="false">SUM(R15:AP15)</f>
        <v>500</v>
      </c>
      <c r="Q15" s="33" t="s">
        <v>71</v>
      </c>
      <c r="R15" s="33"/>
      <c r="S15" s="33"/>
      <c r="T15" s="33"/>
      <c r="U15" s="33"/>
      <c r="V15" s="33"/>
      <c r="W15" s="33" t="n">
        <v>500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5" t="s">
        <v>206</v>
      </c>
      <c r="AR15" s="33" t="s">
        <v>72</v>
      </c>
      <c r="AS15" s="36" t="n">
        <f aca="false">AVERAGE(AV15,BB15,BH15)</f>
        <v>0.0993066666666667</v>
      </c>
      <c r="AT15" s="21" t="n">
        <f aca="false">(AS15*1.3)</f>
        <v>0.129098666666667</v>
      </c>
      <c r="AU15" s="37" t="s">
        <v>87</v>
      </c>
      <c r="AV15" s="36" t="n">
        <f aca="false">60/500</f>
        <v>0.12</v>
      </c>
      <c r="AW15" s="38" t="s">
        <v>207</v>
      </c>
      <c r="AX15" s="39" t="s">
        <v>89</v>
      </c>
      <c r="AY15" s="33" t="s">
        <v>90</v>
      </c>
      <c r="AZ15" s="40" t="n">
        <v>44991</v>
      </c>
      <c r="BA15" s="41" t="s">
        <v>107</v>
      </c>
      <c r="BB15" s="36" t="n">
        <f aca="false">47.12 /500</f>
        <v>0.09424</v>
      </c>
      <c r="BC15" s="38" t="s">
        <v>208</v>
      </c>
      <c r="BD15" s="39" t="s">
        <v>109</v>
      </c>
      <c r="BE15" s="33" t="s">
        <v>110</v>
      </c>
      <c r="BF15" s="40" t="n">
        <v>45266</v>
      </c>
      <c r="BG15" s="27" t="s">
        <v>171</v>
      </c>
      <c r="BH15" s="36" t="n">
        <f aca="false">41.84/500</f>
        <v>0.08368</v>
      </c>
      <c r="BI15" s="38" t="s">
        <v>209</v>
      </c>
      <c r="BJ15" s="39" t="s">
        <v>173</v>
      </c>
      <c r="BK15" s="33" t="s">
        <v>210</v>
      </c>
      <c r="BL15" s="40" t="n">
        <v>44991</v>
      </c>
    </row>
    <row r="16" customFormat="false" ht="294" hidden="false" customHeight="false" outlineLevel="0" collapsed="false">
      <c r="A16" s="12" t="s">
        <v>21</v>
      </c>
      <c r="B16" s="12" t="s">
        <v>211</v>
      </c>
      <c r="C16" s="13" t="s">
        <v>212</v>
      </c>
      <c r="D16" s="14" t="s">
        <v>65</v>
      </c>
      <c r="E16" s="14" t="s">
        <v>66</v>
      </c>
      <c r="F16" s="14" t="n">
        <v>6</v>
      </c>
      <c r="G16" s="14" t="n">
        <v>6</v>
      </c>
      <c r="H16" s="15" t="n">
        <v>39.99</v>
      </c>
      <c r="I16" s="15" t="n">
        <v>239.94</v>
      </c>
      <c r="J16" s="16" t="s">
        <v>213</v>
      </c>
      <c r="K16" s="17" t="n">
        <v>15</v>
      </c>
      <c r="L16" s="17" t="s">
        <v>68</v>
      </c>
      <c r="M16" s="17" t="n">
        <v>21000000018</v>
      </c>
      <c r="N16" s="18" t="s">
        <v>214</v>
      </c>
      <c r="O16" s="17" t="s">
        <v>115</v>
      </c>
      <c r="P16" s="17" t="n">
        <f aca="false">SUM(R16:AP16)</f>
        <v>64</v>
      </c>
      <c r="Q16" s="17" t="s">
        <v>71</v>
      </c>
      <c r="R16" s="17"/>
      <c r="S16" s="17"/>
      <c r="T16" s="17"/>
      <c r="U16" s="17"/>
      <c r="V16" s="17" t="n">
        <v>6</v>
      </c>
      <c r="W16" s="17" t="n">
        <v>21</v>
      </c>
      <c r="X16" s="17"/>
      <c r="Y16" s="17" t="n">
        <v>5</v>
      </c>
      <c r="Z16" s="17" t="n">
        <v>5</v>
      </c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 t="n">
        <v>5</v>
      </c>
      <c r="AO16" s="17" t="n">
        <v>2</v>
      </c>
      <c r="AP16" s="17" t="n">
        <v>20</v>
      </c>
      <c r="AQ16" s="19" t="s">
        <v>214</v>
      </c>
      <c r="AR16" s="17" t="s">
        <v>72</v>
      </c>
      <c r="AS16" s="20" t="n">
        <f aca="false">AVERAGE(AV16,BB16,BH16)</f>
        <v>28.76</v>
      </c>
      <c r="AT16" s="21" t="n">
        <f aca="false">(AS16*1.3)</f>
        <v>37.388</v>
      </c>
      <c r="AU16" s="48" t="s">
        <v>107</v>
      </c>
      <c r="AV16" s="57" t="s">
        <v>215</v>
      </c>
      <c r="AW16" s="16" t="s">
        <v>215</v>
      </c>
      <c r="AX16" s="45" t="s">
        <v>109</v>
      </c>
      <c r="AY16" s="17" t="s">
        <v>110</v>
      </c>
      <c r="AZ16" s="25" t="n">
        <v>44996</v>
      </c>
      <c r="BA16" s="44" t="s">
        <v>216</v>
      </c>
      <c r="BB16" s="20" t="n">
        <v>28.76</v>
      </c>
      <c r="BC16" s="16" t="s">
        <v>217</v>
      </c>
      <c r="BD16" s="45" t="s">
        <v>218</v>
      </c>
      <c r="BE16" s="17" t="s">
        <v>219</v>
      </c>
      <c r="BF16" s="25" t="n">
        <v>44996</v>
      </c>
      <c r="BG16" s="56"/>
      <c r="BH16" s="20"/>
      <c r="BI16" s="17"/>
      <c r="BJ16" s="45"/>
      <c r="BK16" s="25"/>
      <c r="BL16" s="25"/>
    </row>
    <row r="17" customFormat="false" ht="462.75" hidden="false" customHeight="false" outlineLevel="0" collapsed="false">
      <c r="A17" s="28" t="s">
        <v>22</v>
      </c>
      <c r="B17" s="28" t="s">
        <v>220</v>
      </c>
      <c r="C17" s="29" t="s">
        <v>221</v>
      </c>
      <c r="D17" s="30" t="s">
        <v>65</v>
      </c>
      <c r="E17" s="30" t="s">
        <v>66</v>
      </c>
      <c r="F17" s="30" t="n">
        <v>500</v>
      </c>
      <c r="G17" s="30" t="n">
        <v>500</v>
      </c>
      <c r="H17" s="31" t="n">
        <v>2.84</v>
      </c>
      <c r="I17" s="31" t="n">
        <v>1420</v>
      </c>
      <c r="J17" s="32" t="s">
        <v>222</v>
      </c>
      <c r="K17" s="33" t="n">
        <v>16</v>
      </c>
      <c r="L17" s="33" t="s">
        <v>68</v>
      </c>
      <c r="M17" s="33" t="n">
        <v>21000000021</v>
      </c>
      <c r="N17" s="34" t="s">
        <v>223</v>
      </c>
      <c r="O17" s="33" t="s">
        <v>70</v>
      </c>
      <c r="P17" s="33" t="n">
        <f aca="false">SUM(R17:AP17)</f>
        <v>500</v>
      </c>
      <c r="Q17" s="33" t="s">
        <v>71</v>
      </c>
      <c r="R17" s="33"/>
      <c r="S17" s="33"/>
      <c r="T17" s="33"/>
      <c r="U17" s="33"/>
      <c r="V17" s="33"/>
      <c r="W17" s="33" t="n">
        <v>500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5" t="s">
        <v>223</v>
      </c>
      <c r="AR17" s="33" t="s">
        <v>72</v>
      </c>
      <c r="AS17" s="36" t="n">
        <f aca="false">AVERAGE(AV17,BB17,BH17)</f>
        <v>0.11124</v>
      </c>
      <c r="AT17" s="21" t="n">
        <f aca="false">(AS17*1.3)</f>
        <v>0.144612</v>
      </c>
      <c r="AU17" s="48" t="s">
        <v>87</v>
      </c>
      <c r="AV17" s="36" t="n">
        <f aca="false">55.62/500</f>
        <v>0.11124</v>
      </c>
      <c r="AW17" s="38" t="s">
        <v>224</v>
      </c>
      <c r="AX17" s="49" t="s">
        <v>225</v>
      </c>
      <c r="AY17" s="33" t="s">
        <v>90</v>
      </c>
      <c r="AZ17" s="40" t="n">
        <v>44991</v>
      </c>
      <c r="BA17" s="10"/>
      <c r="BB17" s="36"/>
      <c r="BC17" s="33"/>
      <c r="BD17" s="33"/>
      <c r="BE17" s="33"/>
      <c r="BF17" s="33"/>
      <c r="BG17" s="11"/>
      <c r="BH17" s="36"/>
      <c r="BI17" s="33"/>
      <c r="BJ17" s="33"/>
      <c r="BK17" s="33"/>
      <c r="BL17" s="33"/>
    </row>
    <row r="18" customFormat="false" ht="350.25" hidden="false" customHeight="false" outlineLevel="0" collapsed="false">
      <c r="A18" s="12" t="s">
        <v>22</v>
      </c>
      <c r="B18" s="12" t="s">
        <v>226</v>
      </c>
      <c r="C18" s="13" t="s">
        <v>227</v>
      </c>
      <c r="D18" s="14" t="s">
        <v>65</v>
      </c>
      <c r="E18" s="14" t="s">
        <v>66</v>
      </c>
      <c r="F18" s="14" t="n">
        <v>1</v>
      </c>
      <c r="G18" s="14" t="n">
        <v>1</v>
      </c>
      <c r="H18" s="15" t="n">
        <v>198.6</v>
      </c>
      <c r="I18" s="15" t="n">
        <v>198.6</v>
      </c>
      <c r="J18" s="16" t="s">
        <v>228</v>
      </c>
      <c r="K18" s="17" t="n">
        <v>17</v>
      </c>
      <c r="L18" s="17" t="s">
        <v>68</v>
      </c>
      <c r="M18" s="17" t="n">
        <v>21000000382</v>
      </c>
      <c r="N18" s="18" t="s">
        <v>229</v>
      </c>
      <c r="O18" s="17" t="s">
        <v>115</v>
      </c>
      <c r="P18" s="17" t="n">
        <f aca="false">SUM(R18:AP18)</f>
        <v>1</v>
      </c>
      <c r="Q18" s="17" t="s">
        <v>71</v>
      </c>
      <c r="R18" s="17"/>
      <c r="S18" s="17"/>
      <c r="T18" s="17"/>
      <c r="U18" s="17"/>
      <c r="V18" s="17"/>
      <c r="W18" s="17" t="n">
        <v>1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9" t="s">
        <v>229</v>
      </c>
      <c r="AR18" s="17" t="s">
        <v>230</v>
      </c>
      <c r="AS18" s="20" t="n">
        <f aca="false">AVERAGE(AV18,BB18,BH18)</f>
        <v>545</v>
      </c>
      <c r="AT18" s="21" t="n">
        <f aca="false">(AS18*1.3)</f>
        <v>708.5</v>
      </c>
      <c r="AU18" s="7" t="s">
        <v>185</v>
      </c>
      <c r="AV18" s="20" t="n">
        <v>545</v>
      </c>
      <c r="AW18" s="53" t="s">
        <v>231</v>
      </c>
      <c r="AX18" s="54" t="s">
        <v>187</v>
      </c>
      <c r="AY18" s="17" t="s">
        <v>188</v>
      </c>
      <c r="AZ18" s="55" t="n">
        <v>45008</v>
      </c>
      <c r="BA18" s="10"/>
      <c r="BB18" s="20"/>
      <c r="BD18" s="54"/>
      <c r="BE18" s="17"/>
      <c r="BF18" s="55"/>
      <c r="BG18" s="11"/>
      <c r="BH18" s="20"/>
      <c r="BI18" s="17"/>
      <c r="BJ18" s="17"/>
      <c r="BK18" s="17"/>
      <c r="BL18" s="17"/>
    </row>
    <row r="19" customFormat="false" ht="327.75" hidden="false" customHeight="false" outlineLevel="0" collapsed="false">
      <c r="A19" s="28" t="s">
        <v>18</v>
      </c>
      <c r="B19" s="28" t="s">
        <v>232</v>
      </c>
      <c r="C19" s="29" t="s">
        <v>233</v>
      </c>
      <c r="D19" s="30" t="s">
        <v>65</v>
      </c>
      <c r="E19" s="30" t="s">
        <v>66</v>
      </c>
      <c r="F19" s="30" t="n">
        <v>1</v>
      </c>
      <c r="G19" s="30" t="n">
        <v>1</v>
      </c>
      <c r="H19" s="31" t="n">
        <v>75</v>
      </c>
      <c r="I19" s="31" t="n">
        <v>75</v>
      </c>
      <c r="J19" s="32" t="s">
        <v>234</v>
      </c>
      <c r="K19" s="33" t="n">
        <v>18</v>
      </c>
      <c r="L19" s="33" t="s">
        <v>68</v>
      </c>
      <c r="M19" s="33" t="n">
        <v>21000000022</v>
      </c>
      <c r="N19" s="34" t="s">
        <v>235</v>
      </c>
      <c r="O19" s="33" t="s">
        <v>115</v>
      </c>
      <c r="P19" s="33" t="n">
        <f aca="false">SUM(R19:AP19)</f>
        <v>6</v>
      </c>
      <c r="Q19" s="33" t="s">
        <v>71</v>
      </c>
      <c r="R19" s="33"/>
      <c r="S19" s="33" t="n">
        <v>1</v>
      </c>
      <c r="T19" s="33"/>
      <c r="U19" s="33"/>
      <c r="V19" s="33"/>
      <c r="W19" s="33" t="n">
        <v>5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5" t="s">
        <v>235</v>
      </c>
      <c r="AR19" s="33" t="s">
        <v>236</v>
      </c>
      <c r="AS19" s="36" t="n">
        <f aca="false">AVERAGE(AV19,BB19,BH19)</f>
        <v>128.743333333333</v>
      </c>
      <c r="AT19" s="21" t="n">
        <f aca="false">(AS19*1.3)</f>
        <v>167.366333333333</v>
      </c>
      <c r="AU19" s="7" t="s">
        <v>128</v>
      </c>
      <c r="AV19" s="36" t="n">
        <v>122.71</v>
      </c>
      <c r="AW19" s="32" t="s">
        <v>237</v>
      </c>
      <c r="AX19" s="33" t="s">
        <v>130</v>
      </c>
      <c r="AY19" s="33" t="s">
        <v>131</v>
      </c>
      <c r="AZ19" s="40" t="n">
        <v>44992</v>
      </c>
      <c r="BA19" s="10" t="s">
        <v>216</v>
      </c>
      <c r="BB19" s="36" t="n">
        <v>142.79</v>
      </c>
      <c r="BC19" s="32" t="s">
        <v>238</v>
      </c>
      <c r="BD19" s="33" t="s">
        <v>218</v>
      </c>
      <c r="BE19" s="33" t="s">
        <v>219</v>
      </c>
      <c r="BF19" s="40" t="n">
        <v>44992</v>
      </c>
      <c r="BG19" s="56" t="s">
        <v>157</v>
      </c>
      <c r="BH19" s="36" t="n">
        <v>120.73</v>
      </c>
      <c r="BI19" s="38" t="s">
        <v>239</v>
      </c>
      <c r="BJ19" s="49" t="s">
        <v>159</v>
      </c>
      <c r="BK19" s="33" t="s">
        <v>76</v>
      </c>
      <c r="BL19" s="40" t="n">
        <v>44992</v>
      </c>
    </row>
    <row r="20" customFormat="false" ht="395.25" hidden="false" customHeight="false" outlineLevel="0" collapsed="false">
      <c r="A20" s="12" t="s">
        <v>41</v>
      </c>
      <c r="B20" s="12" t="s">
        <v>240</v>
      </c>
      <c r="C20" s="13" t="n">
        <v>346506</v>
      </c>
      <c r="D20" s="14" t="s">
        <v>65</v>
      </c>
      <c r="E20" s="14" t="s">
        <v>66</v>
      </c>
      <c r="F20" s="14" t="n">
        <v>3</v>
      </c>
      <c r="G20" s="14" t="n">
        <v>3</v>
      </c>
      <c r="H20" s="15" t="n">
        <v>80</v>
      </c>
      <c r="I20" s="15" t="n">
        <v>240</v>
      </c>
      <c r="J20" s="16" t="s">
        <v>241</v>
      </c>
      <c r="K20" s="17" t="n">
        <v>19</v>
      </c>
      <c r="L20" s="17" t="s">
        <v>68</v>
      </c>
      <c r="M20" s="17" t="n">
        <v>21000000486</v>
      </c>
      <c r="N20" s="18" t="s">
        <v>242</v>
      </c>
      <c r="O20" s="17" t="s">
        <v>70</v>
      </c>
      <c r="P20" s="17" t="n">
        <f aca="false">SUM(R20:AP20)</f>
        <v>300</v>
      </c>
      <c r="Q20" s="17" t="s">
        <v>71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 t="n">
        <v>300</v>
      </c>
      <c r="AQ20" s="19" t="s">
        <v>242</v>
      </c>
      <c r="AR20" s="17"/>
      <c r="AS20" s="20" t="e">
        <f aca="false">AVERAGE(AV20,BB20,BH20)</f>
        <v>#DIV/0!</v>
      </c>
      <c r="AT20" s="47" t="e">
        <f aca="false">(AS20*1.3)</f>
        <v>#DIV/0!</v>
      </c>
      <c r="AU20" s="7"/>
      <c r="AV20" s="20"/>
      <c r="AW20" s="17"/>
      <c r="AX20" s="17"/>
      <c r="AY20" s="17"/>
      <c r="AZ20" s="17"/>
      <c r="BA20" s="10"/>
      <c r="BB20" s="20"/>
      <c r="BC20" s="17"/>
      <c r="BD20" s="17"/>
      <c r="BE20" s="17"/>
      <c r="BF20" s="17"/>
      <c r="BG20" s="11"/>
      <c r="BH20" s="20"/>
      <c r="BI20" s="17"/>
      <c r="BJ20" s="17"/>
      <c r="BK20" s="17"/>
      <c r="BL20" s="17"/>
    </row>
    <row r="21" customFormat="false" ht="327.75" hidden="false" customHeight="false" outlineLevel="0" collapsed="false">
      <c r="A21" s="28" t="s">
        <v>18</v>
      </c>
      <c r="B21" s="28" t="s">
        <v>243</v>
      </c>
      <c r="C21" s="29" t="s">
        <v>244</v>
      </c>
      <c r="D21" s="30" t="s">
        <v>65</v>
      </c>
      <c r="E21" s="30" t="s">
        <v>66</v>
      </c>
      <c r="F21" s="30" t="n">
        <v>1</v>
      </c>
      <c r="G21" s="30" t="n">
        <v>1</v>
      </c>
      <c r="H21" s="31" t="n">
        <v>157.42</v>
      </c>
      <c r="I21" s="31" t="n">
        <v>157.42</v>
      </c>
      <c r="J21" s="32" t="s">
        <v>245</v>
      </c>
      <c r="K21" s="33" t="n">
        <v>20</v>
      </c>
      <c r="L21" s="33" t="s">
        <v>68</v>
      </c>
      <c r="M21" s="33" t="n">
        <v>21000000082</v>
      </c>
      <c r="N21" s="34" t="s">
        <v>246</v>
      </c>
      <c r="O21" s="33" t="s">
        <v>115</v>
      </c>
      <c r="P21" s="33" t="n">
        <f aca="false">SUM(R21:AP21)</f>
        <v>25</v>
      </c>
      <c r="Q21" s="33" t="s">
        <v>71</v>
      </c>
      <c r="R21" s="33"/>
      <c r="S21" s="33" t="n">
        <v>1</v>
      </c>
      <c r="T21" s="33"/>
      <c r="U21" s="33"/>
      <c r="V21" s="33" t="n">
        <v>6</v>
      </c>
      <c r="W21" s="33" t="n">
        <v>12</v>
      </c>
      <c r="X21" s="33"/>
      <c r="Y21" s="33"/>
      <c r="Z21" s="33"/>
      <c r="AA21" s="33"/>
      <c r="AB21" s="33" t="n">
        <v>5</v>
      </c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 t="n">
        <v>1</v>
      </c>
      <c r="AP21" s="33"/>
      <c r="AQ21" s="35" t="s">
        <v>246</v>
      </c>
      <c r="AR21" s="33" t="s">
        <v>236</v>
      </c>
      <c r="AS21" s="36" t="n">
        <f aca="false">AVERAGE(AV21,BB21,BH21)</f>
        <v>57.75</v>
      </c>
      <c r="AT21" s="21" t="n">
        <f aca="false">(AS21*1.3)</f>
        <v>75.075</v>
      </c>
      <c r="AU21" s="7" t="s">
        <v>216</v>
      </c>
      <c r="AV21" s="36" t="n">
        <v>57.75</v>
      </c>
      <c r="AW21" s="38" t="s">
        <v>247</v>
      </c>
      <c r="AX21" s="33" t="s">
        <v>218</v>
      </c>
      <c r="AY21" s="33" t="s">
        <v>219</v>
      </c>
      <c r="AZ21" s="40" t="n">
        <v>44992</v>
      </c>
      <c r="BA21" s="10"/>
      <c r="BB21" s="36"/>
      <c r="BC21" s="33"/>
      <c r="BD21" s="33"/>
      <c r="BE21" s="33"/>
      <c r="BF21" s="33"/>
      <c r="BG21" s="11"/>
      <c r="BH21" s="36"/>
      <c r="BI21" s="33"/>
      <c r="BJ21" s="33"/>
      <c r="BK21" s="33"/>
      <c r="BL21" s="33"/>
    </row>
    <row r="22" customFormat="false" ht="440.25" hidden="false" customHeight="false" outlineLevel="0" collapsed="false">
      <c r="A22" s="12" t="s">
        <v>22</v>
      </c>
      <c r="B22" s="12" t="s">
        <v>248</v>
      </c>
      <c r="C22" s="13" t="n">
        <v>347156</v>
      </c>
      <c r="D22" s="14" t="s">
        <v>65</v>
      </c>
      <c r="E22" s="14" t="s">
        <v>66</v>
      </c>
      <c r="F22" s="14" t="n">
        <v>500</v>
      </c>
      <c r="G22" s="14" t="n">
        <v>500</v>
      </c>
      <c r="H22" s="15" t="n">
        <v>4.31</v>
      </c>
      <c r="I22" s="15" t="n">
        <v>2155</v>
      </c>
      <c r="J22" s="16" t="s">
        <v>249</v>
      </c>
      <c r="K22" s="17" t="n">
        <v>21</v>
      </c>
      <c r="L22" s="17" t="s">
        <v>68</v>
      </c>
      <c r="M22" s="17" t="n">
        <v>21000000066</v>
      </c>
      <c r="N22" s="18" t="s">
        <v>250</v>
      </c>
      <c r="O22" s="17" t="s">
        <v>70</v>
      </c>
      <c r="P22" s="17" t="n">
        <f aca="false">SUM(R22:AP22)</f>
        <v>500</v>
      </c>
      <c r="Q22" s="17" t="s">
        <v>71</v>
      </c>
      <c r="R22" s="17"/>
      <c r="S22" s="17"/>
      <c r="T22" s="17"/>
      <c r="U22" s="17"/>
      <c r="V22" s="17"/>
      <c r="W22" s="17" t="n">
        <v>500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9" t="s">
        <v>250</v>
      </c>
      <c r="AR22" s="17" t="s">
        <v>236</v>
      </c>
      <c r="AS22" s="20" t="n">
        <f aca="false">AVERAGE(AV22,BB22,BH22)</f>
        <v>0.07</v>
      </c>
      <c r="AT22" s="21" t="n">
        <f aca="false">(AS22*1.3)</f>
        <v>0.091</v>
      </c>
      <c r="AU22" s="7" t="s">
        <v>107</v>
      </c>
      <c r="AV22" s="20" t="n">
        <v>0.06</v>
      </c>
      <c r="AW22" s="23" t="s">
        <v>251</v>
      </c>
      <c r="AX22" s="17" t="s">
        <v>109</v>
      </c>
      <c r="AY22" s="17" t="s">
        <v>110</v>
      </c>
      <c r="AZ22" s="25" t="n">
        <v>44992</v>
      </c>
      <c r="BA22" s="10" t="s">
        <v>128</v>
      </c>
      <c r="BB22" s="20" t="n">
        <v>0.07</v>
      </c>
      <c r="BC22" s="23" t="s">
        <v>252</v>
      </c>
      <c r="BD22" s="17" t="s">
        <v>130</v>
      </c>
      <c r="BE22" s="17" t="s">
        <v>253</v>
      </c>
      <c r="BF22" s="17" t="n">
        <v>44992</v>
      </c>
      <c r="BG22" s="11" t="s">
        <v>87</v>
      </c>
      <c r="BH22" s="20" t="n">
        <v>0.08</v>
      </c>
      <c r="BI22" s="23" t="s">
        <v>254</v>
      </c>
      <c r="BJ22" s="17" t="s">
        <v>89</v>
      </c>
      <c r="BK22" s="17" t="s">
        <v>255</v>
      </c>
      <c r="BL22" s="17" t="n">
        <v>44993</v>
      </c>
    </row>
    <row r="23" customFormat="false" ht="316.5" hidden="false" customHeight="false" outlineLevel="0" collapsed="false">
      <c r="A23" s="28" t="s">
        <v>40</v>
      </c>
      <c r="B23" s="28" t="s">
        <v>256</v>
      </c>
      <c r="C23" s="29" t="s">
        <v>257</v>
      </c>
      <c r="D23" s="30" t="s">
        <v>65</v>
      </c>
      <c r="E23" s="30" t="s">
        <v>66</v>
      </c>
      <c r="F23" s="30" t="n">
        <v>1</v>
      </c>
      <c r="G23" s="30" t="n">
        <v>1</v>
      </c>
      <c r="H23" s="31" t="n">
        <v>976.16</v>
      </c>
      <c r="I23" s="31" t="n">
        <v>976.16</v>
      </c>
      <c r="J23" s="38" t="s">
        <v>258</v>
      </c>
      <c r="K23" s="33" t="n">
        <v>22</v>
      </c>
      <c r="L23" s="33" t="s">
        <v>68</v>
      </c>
      <c r="M23" s="33" t="n">
        <v>21000000294</v>
      </c>
      <c r="N23" s="34" t="s">
        <v>259</v>
      </c>
      <c r="O23" s="33" t="s">
        <v>115</v>
      </c>
      <c r="P23" s="33" t="n">
        <f aca="false">SUM(R23:AP23)</f>
        <v>1</v>
      </c>
      <c r="Q23" s="33" t="s">
        <v>71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 t="n">
        <v>1</v>
      </c>
      <c r="AP23" s="33"/>
      <c r="AQ23" s="35" t="s">
        <v>259</v>
      </c>
      <c r="AR23" s="33" t="s">
        <v>236</v>
      </c>
      <c r="AS23" s="36" t="n">
        <f aca="false">AVERAGE(AV23,BB23,BH23)</f>
        <v>1272</v>
      </c>
      <c r="AT23" s="21" t="n">
        <f aca="false">(AS23*1.3)</f>
        <v>1653.6</v>
      </c>
      <c r="AU23" s="48" t="s">
        <v>260</v>
      </c>
      <c r="AV23" s="36" t="n">
        <v>1272</v>
      </c>
      <c r="AW23" s="32" t="s">
        <v>261</v>
      </c>
      <c r="AX23" s="49" t="s">
        <v>262</v>
      </c>
      <c r="AY23" s="33" t="s">
        <v>263</v>
      </c>
      <c r="AZ23" s="40" t="n">
        <v>44993</v>
      </c>
      <c r="BA23" s="10"/>
      <c r="BB23" s="36"/>
      <c r="BC23" s="33"/>
      <c r="BD23" s="33"/>
      <c r="BE23" s="33"/>
      <c r="BF23" s="33"/>
      <c r="BG23" s="11"/>
      <c r="BH23" s="36"/>
      <c r="BI23" s="33"/>
      <c r="BJ23" s="33"/>
      <c r="BK23" s="33"/>
      <c r="BL23" s="33"/>
    </row>
    <row r="24" customFormat="false" ht="305.25" hidden="false" customHeight="false" outlineLevel="0" collapsed="false">
      <c r="A24" s="12" t="s">
        <v>35</v>
      </c>
      <c r="B24" s="12" t="s">
        <v>264</v>
      </c>
      <c r="C24" s="13" t="s">
        <v>265</v>
      </c>
      <c r="D24" s="14" t="s">
        <v>65</v>
      </c>
      <c r="E24" s="14" t="s">
        <v>66</v>
      </c>
      <c r="F24" s="14" t="n">
        <v>5</v>
      </c>
      <c r="G24" s="14" t="n">
        <v>4</v>
      </c>
      <c r="H24" s="15" t="n">
        <v>334</v>
      </c>
      <c r="I24" s="15" t="n">
        <v>334</v>
      </c>
      <c r="J24" s="16" t="s">
        <v>266</v>
      </c>
      <c r="K24" s="17" t="n">
        <v>23</v>
      </c>
      <c r="L24" s="17" t="s">
        <v>68</v>
      </c>
      <c r="M24" s="17" t="n">
        <v>21000000488</v>
      </c>
      <c r="N24" s="18" t="s">
        <v>267</v>
      </c>
      <c r="O24" s="17" t="s">
        <v>268</v>
      </c>
      <c r="P24" s="17" t="n">
        <f aca="false">SUM(R24:AP24)</f>
        <v>4</v>
      </c>
      <c r="Q24" s="17" t="s">
        <v>71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 t="n">
        <v>4</v>
      </c>
      <c r="AK24" s="17"/>
      <c r="AL24" s="17"/>
      <c r="AM24" s="17"/>
      <c r="AN24" s="17"/>
      <c r="AO24" s="17"/>
      <c r="AP24" s="17"/>
      <c r="AQ24" s="19" t="s">
        <v>267</v>
      </c>
      <c r="AR24" s="17"/>
      <c r="AS24" s="20" t="e">
        <f aca="false">AVERAGE(AV24,BB24,BH24)</f>
        <v>#DIV/0!</v>
      </c>
      <c r="AT24" s="17" t="e">
        <f aca="false">(AS24*1.3)</f>
        <v>#DIV/0!</v>
      </c>
      <c r="AU24" s="17"/>
      <c r="AV24" s="20"/>
      <c r="AW24" s="17"/>
      <c r="AX24" s="17"/>
      <c r="AY24" s="17"/>
      <c r="AZ24" s="17"/>
      <c r="BA24" s="17"/>
      <c r="BB24" s="20"/>
      <c r="BC24" s="17"/>
      <c r="BD24" s="17"/>
      <c r="BE24" s="17"/>
      <c r="BF24" s="17"/>
      <c r="BG24" s="17"/>
      <c r="BH24" s="20"/>
      <c r="BI24" s="17"/>
      <c r="BJ24" s="17"/>
      <c r="BK24" s="17"/>
      <c r="BL24" s="17"/>
    </row>
    <row r="25" customFormat="false" ht="327.75" hidden="false" customHeight="false" outlineLevel="0" collapsed="false">
      <c r="A25" s="28" t="s">
        <v>22</v>
      </c>
      <c r="B25" s="28" t="s">
        <v>269</v>
      </c>
      <c r="C25" s="29" t="s">
        <v>270</v>
      </c>
      <c r="D25" s="30" t="s">
        <v>65</v>
      </c>
      <c r="E25" s="30" t="s">
        <v>66</v>
      </c>
      <c r="F25" s="30" t="n">
        <v>2</v>
      </c>
      <c r="G25" s="30" t="n">
        <v>2</v>
      </c>
      <c r="H25" s="31" t="n">
        <v>130</v>
      </c>
      <c r="I25" s="31" t="n">
        <v>260</v>
      </c>
      <c r="J25" s="32" t="s">
        <v>271</v>
      </c>
      <c r="K25" s="33" t="n">
        <v>24</v>
      </c>
      <c r="L25" s="33" t="s">
        <v>68</v>
      </c>
      <c r="M25" s="33" t="n">
        <v>21000000061</v>
      </c>
      <c r="N25" s="34" t="s">
        <v>272</v>
      </c>
      <c r="O25" s="33" t="s">
        <v>115</v>
      </c>
      <c r="P25" s="33" t="n">
        <f aca="false">SUM(R25:AP25)</f>
        <v>2</v>
      </c>
      <c r="Q25" s="33" t="s">
        <v>71</v>
      </c>
      <c r="R25" s="33"/>
      <c r="S25" s="33"/>
      <c r="T25" s="33"/>
      <c r="U25" s="33"/>
      <c r="V25" s="33"/>
      <c r="W25" s="33" t="n">
        <v>2</v>
      </c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5" t="s">
        <v>272</v>
      </c>
      <c r="AR25" s="33"/>
      <c r="AS25" s="36" t="e">
        <f aca="false">AVERAGE(AV25,BB25,BH25)</f>
        <v>#DIV/0!</v>
      </c>
      <c r="AT25" s="47" t="e">
        <f aca="false">(AS25*1.3)</f>
        <v>#DIV/0!</v>
      </c>
      <c r="AU25" s="48"/>
      <c r="AV25" s="36"/>
      <c r="AW25" s="33"/>
      <c r="AX25" s="49"/>
      <c r="AY25" s="33"/>
      <c r="AZ25" s="40" t="n">
        <v>44993</v>
      </c>
      <c r="BA25" s="10"/>
      <c r="BB25" s="36"/>
      <c r="BC25" s="33"/>
      <c r="BD25" s="33"/>
      <c r="BE25" s="33"/>
      <c r="BF25" s="33"/>
      <c r="BG25" s="11"/>
      <c r="BH25" s="36"/>
      <c r="BI25" s="33"/>
      <c r="BJ25" s="33"/>
      <c r="BK25" s="33"/>
      <c r="BL25" s="33"/>
    </row>
    <row r="26" customFormat="false" ht="327.75" hidden="false" customHeight="false" outlineLevel="0" collapsed="false">
      <c r="A26" s="12" t="s">
        <v>19</v>
      </c>
      <c r="B26" s="12" t="s">
        <v>273</v>
      </c>
      <c r="C26" s="13" t="s">
        <v>274</v>
      </c>
      <c r="D26" s="14" t="s">
        <v>65</v>
      </c>
      <c r="E26" s="14" t="s">
        <v>66</v>
      </c>
      <c r="F26" s="14" t="n">
        <v>4</v>
      </c>
      <c r="G26" s="14" t="n">
        <v>4</v>
      </c>
      <c r="H26" s="15" t="n">
        <v>80</v>
      </c>
      <c r="I26" s="15" t="n">
        <v>320</v>
      </c>
      <c r="J26" s="16" t="s">
        <v>275</v>
      </c>
      <c r="K26" s="17" t="n">
        <v>25</v>
      </c>
      <c r="L26" s="17" t="s">
        <v>68</v>
      </c>
      <c r="M26" s="17" t="n">
        <v>21000000063</v>
      </c>
      <c r="N26" s="18" t="s">
        <v>276</v>
      </c>
      <c r="O26" s="17" t="s">
        <v>115</v>
      </c>
      <c r="P26" s="17" t="n">
        <f aca="false">SUM(R26:AP26)</f>
        <v>74</v>
      </c>
      <c r="Q26" s="17" t="s">
        <v>71</v>
      </c>
      <c r="R26" s="17"/>
      <c r="S26" s="17"/>
      <c r="T26" s="17" t="n">
        <v>4</v>
      </c>
      <c r="U26" s="17"/>
      <c r="V26" s="17" t="n">
        <v>6</v>
      </c>
      <c r="W26" s="17" t="n">
        <v>29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 t="n">
        <v>5</v>
      </c>
      <c r="AO26" s="17" t="n">
        <v>10</v>
      </c>
      <c r="AP26" s="17" t="n">
        <v>20</v>
      </c>
      <c r="AQ26" s="19" t="s">
        <v>276</v>
      </c>
      <c r="AR26" s="17" t="s">
        <v>236</v>
      </c>
      <c r="AS26" s="20" t="n">
        <f aca="false">AVERAGE(AV26,BB26,BH26)</f>
        <v>80.3333333333333</v>
      </c>
      <c r="AT26" s="21" t="n">
        <f aca="false">(AS26*1.3)</f>
        <v>104.433333333333</v>
      </c>
      <c r="AU26" s="48" t="s">
        <v>216</v>
      </c>
      <c r="AV26" s="20" t="n">
        <v>53.52</v>
      </c>
      <c r="AW26" s="16" t="s">
        <v>277</v>
      </c>
      <c r="AX26" s="45" t="s">
        <v>218</v>
      </c>
      <c r="AY26" s="17" t="s">
        <v>219</v>
      </c>
      <c r="AZ26" s="25" t="n">
        <v>44993</v>
      </c>
      <c r="BA26" s="44" t="s">
        <v>107</v>
      </c>
      <c r="BB26" s="20" t="n">
        <v>95.98</v>
      </c>
      <c r="BC26" s="16" t="s">
        <v>278</v>
      </c>
      <c r="BD26" s="45" t="s">
        <v>109</v>
      </c>
      <c r="BE26" s="17" t="s">
        <v>110</v>
      </c>
      <c r="BF26" s="25" t="n">
        <v>44993</v>
      </c>
      <c r="BG26" s="56" t="s">
        <v>157</v>
      </c>
      <c r="BH26" s="20" t="n">
        <v>91.5</v>
      </c>
      <c r="BI26" s="23" t="s">
        <v>279</v>
      </c>
      <c r="BJ26" s="45" t="s">
        <v>159</v>
      </c>
      <c r="BK26" s="17" t="s">
        <v>76</v>
      </c>
      <c r="BL26" s="25" t="n">
        <v>44993</v>
      </c>
    </row>
    <row r="27" customFormat="false" ht="417.75" hidden="false" customHeight="false" outlineLevel="0" collapsed="false">
      <c r="A27" s="28" t="s">
        <v>40</v>
      </c>
      <c r="B27" s="28" t="s">
        <v>280</v>
      </c>
      <c r="C27" s="29" t="s">
        <v>281</v>
      </c>
      <c r="D27" s="30" t="s">
        <v>65</v>
      </c>
      <c r="E27" s="30" t="s">
        <v>66</v>
      </c>
      <c r="F27" s="30" t="n">
        <v>500</v>
      </c>
      <c r="G27" s="30" t="n">
        <v>500</v>
      </c>
      <c r="H27" s="31" t="n">
        <v>0.34</v>
      </c>
      <c r="I27" s="31" t="n">
        <v>170</v>
      </c>
      <c r="J27" s="32" t="s">
        <v>282</v>
      </c>
      <c r="K27" s="33" t="n">
        <v>26</v>
      </c>
      <c r="L27" s="33" t="s">
        <v>68</v>
      </c>
      <c r="M27" s="33" t="n">
        <v>21000000067</v>
      </c>
      <c r="N27" s="34" t="s">
        <v>283</v>
      </c>
      <c r="O27" s="33" t="s">
        <v>70</v>
      </c>
      <c r="P27" s="33" t="n">
        <f aca="false">SUM(R27:AP27)</f>
        <v>500</v>
      </c>
      <c r="Q27" s="33" t="s">
        <v>71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 t="n">
        <v>500</v>
      </c>
      <c r="AP27" s="33"/>
      <c r="AQ27" s="35" t="s">
        <v>283</v>
      </c>
      <c r="AR27" s="33" t="s">
        <v>236</v>
      </c>
      <c r="AS27" s="36" t="n">
        <f aca="false">AVERAGE(AV27,BB27,BH27)</f>
        <v>0.443333333333333</v>
      </c>
      <c r="AT27" s="21" t="n">
        <f aca="false">(AS27*1.3)</f>
        <v>0.576333333333333</v>
      </c>
      <c r="AU27" s="48" t="s">
        <v>107</v>
      </c>
      <c r="AV27" s="36" t="n">
        <v>0.41</v>
      </c>
      <c r="AW27" s="32" t="s">
        <v>284</v>
      </c>
      <c r="AX27" s="49" t="s">
        <v>109</v>
      </c>
      <c r="AY27" s="33" t="s">
        <v>110</v>
      </c>
      <c r="AZ27" s="40" t="n">
        <v>44993</v>
      </c>
      <c r="BA27" s="44" t="s">
        <v>128</v>
      </c>
      <c r="BB27" s="36" t="n">
        <v>0.52</v>
      </c>
      <c r="BC27" s="32" t="s">
        <v>285</v>
      </c>
      <c r="BD27" s="49" t="s">
        <v>130</v>
      </c>
      <c r="BE27" s="33" t="s">
        <v>286</v>
      </c>
      <c r="BF27" s="40" t="n">
        <v>44993</v>
      </c>
      <c r="BG27" s="56" t="s">
        <v>287</v>
      </c>
      <c r="BH27" s="36" t="n">
        <v>0.4</v>
      </c>
      <c r="BI27" s="32" t="s">
        <v>288</v>
      </c>
      <c r="BJ27" s="49" t="s">
        <v>134</v>
      </c>
      <c r="BK27" s="33" t="s">
        <v>289</v>
      </c>
      <c r="BL27" s="40" t="n">
        <v>44993</v>
      </c>
    </row>
    <row r="28" customFormat="false" ht="125.25" hidden="false" customHeight="false" outlineLevel="0" collapsed="false">
      <c r="A28" s="12" t="s">
        <v>18</v>
      </c>
      <c r="B28" s="12" t="s">
        <v>290</v>
      </c>
      <c r="C28" s="13" t="s">
        <v>291</v>
      </c>
      <c r="D28" s="14" t="s">
        <v>65</v>
      </c>
      <c r="E28" s="14" t="s">
        <v>66</v>
      </c>
      <c r="F28" s="14" t="n">
        <v>3</v>
      </c>
      <c r="G28" s="14" t="n">
        <v>3</v>
      </c>
      <c r="H28" s="15" t="n">
        <v>660.62</v>
      </c>
      <c r="I28" s="15" t="n">
        <v>1981.86</v>
      </c>
      <c r="J28" s="23" t="s">
        <v>292</v>
      </c>
      <c r="K28" s="17" t="n">
        <v>27</v>
      </c>
      <c r="L28" s="17" t="s">
        <v>68</v>
      </c>
      <c r="M28" s="17" t="n">
        <v>21000000049</v>
      </c>
      <c r="N28" s="18" t="s">
        <v>293</v>
      </c>
      <c r="O28" s="17" t="s">
        <v>200</v>
      </c>
      <c r="P28" s="17" t="n">
        <f aca="false">SUM(R28:AP28)</f>
        <v>5</v>
      </c>
      <c r="Q28" s="17" t="s">
        <v>71</v>
      </c>
      <c r="R28" s="17"/>
      <c r="S28" s="17" t="n">
        <v>3</v>
      </c>
      <c r="T28" s="17"/>
      <c r="U28" s="17"/>
      <c r="V28" s="17"/>
      <c r="W28" s="17" t="n">
        <v>1</v>
      </c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 t="n">
        <v>1</v>
      </c>
      <c r="AK28" s="17"/>
      <c r="AL28" s="17"/>
      <c r="AM28" s="17"/>
      <c r="AN28" s="17"/>
      <c r="AO28" s="17"/>
      <c r="AP28" s="17"/>
      <c r="AQ28" s="19" t="s">
        <v>293</v>
      </c>
      <c r="AR28" s="17" t="s">
        <v>294</v>
      </c>
      <c r="AS28" s="20" t="n">
        <f aca="false">AVERAGE(AV28,BB28,BH28)</f>
        <v>684.146666666667</v>
      </c>
      <c r="AT28" s="21" t="n">
        <f aca="false">(AS28*1.3)</f>
        <v>889.390666666667</v>
      </c>
      <c r="AU28" s="7" t="s">
        <v>287</v>
      </c>
      <c r="AV28" s="20" t="n">
        <v>638.14</v>
      </c>
      <c r="AW28" s="23" t="s">
        <v>295</v>
      </c>
      <c r="AX28" s="17" t="s">
        <v>296</v>
      </c>
      <c r="AY28" s="17" t="s">
        <v>297</v>
      </c>
      <c r="AZ28" s="25" t="n">
        <v>44993</v>
      </c>
      <c r="BA28" s="10" t="s">
        <v>128</v>
      </c>
      <c r="BB28" s="20" t="n">
        <v>782.3</v>
      </c>
      <c r="BC28" s="23" t="s">
        <v>298</v>
      </c>
      <c r="BD28" s="17" t="s">
        <v>130</v>
      </c>
      <c r="BE28" s="17" t="s">
        <v>299</v>
      </c>
      <c r="BF28" s="25" t="n">
        <v>44993</v>
      </c>
      <c r="BG28" s="11" t="s">
        <v>107</v>
      </c>
      <c r="BH28" s="20" t="n">
        <v>632</v>
      </c>
      <c r="BI28" s="23" t="s">
        <v>300</v>
      </c>
      <c r="BJ28" s="17" t="s">
        <v>301</v>
      </c>
      <c r="BK28" s="17" t="s">
        <v>297</v>
      </c>
      <c r="BL28" s="25" t="n">
        <v>44993</v>
      </c>
    </row>
    <row r="29" customFormat="false" ht="102.75" hidden="false" customHeight="false" outlineLevel="0" collapsed="false">
      <c r="A29" s="28" t="s">
        <v>35</v>
      </c>
      <c r="B29" s="28" t="s">
        <v>302</v>
      </c>
      <c r="C29" s="29" t="s">
        <v>303</v>
      </c>
      <c r="D29" s="30" t="s">
        <v>65</v>
      </c>
      <c r="E29" s="30" t="s">
        <v>66</v>
      </c>
      <c r="F29" s="30" t="n">
        <v>1</v>
      </c>
      <c r="G29" s="30" t="n">
        <v>1</v>
      </c>
      <c r="H29" s="31" t="n">
        <v>714</v>
      </c>
      <c r="I29" s="31" t="n">
        <v>714</v>
      </c>
      <c r="J29" s="38" t="s">
        <v>304</v>
      </c>
      <c r="K29" s="33" t="n">
        <v>28</v>
      </c>
      <c r="L29" s="33" t="s">
        <v>68</v>
      </c>
      <c r="M29" s="33" t="n">
        <v>21000000510</v>
      </c>
      <c r="N29" s="34" t="s">
        <v>305</v>
      </c>
      <c r="O29" s="33" t="s">
        <v>200</v>
      </c>
      <c r="P29" s="33" t="n">
        <f aca="false">SUM(R29:AP29)</f>
        <v>1</v>
      </c>
      <c r="Q29" s="33" t="s">
        <v>71</v>
      </c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 t="n">
        <v>1</v>
      </c>
      <c r="AK29" s="33"/>
      <c r="AL29" s="33"/>
      <c r="AM29" s="33"/>
      <c r="AN29" s="33"/>
      <c r="AO29" s="33"/>
      <c r="AP29" s="33"/>
      <c r="AQ29" s="35" t="s">
        <v>305</v>
      </c>
      <c r="AR29" s="33" t="s">
        <v>294</v>
      </c>
      <c r="AS29" s="36" t="n">
        <f aca="false">AVERAGE(AV29,BB29,BH29)</f>
        <v>572.53</v>
      </c>
      <c r="AT29" s="21" t="n">
        <f aca="false">(AS29*1.3)</f>
        <v>744.289</v>
      </c>
      <c r="AU29" s="7" t="s">
        <v>128</v>
      </c>
      <c r="AV29" s="36" t="n">
        <v>691.15</v>
      </c>
      <c r="AW29" s="38" t="s">
        <v>306</v>
      </c>
      <c r="AX29" s="33" t="s">
        <v>130</v>
      </c>
      <c r="AY29" s="33" t="s">
        <v>299</v>
      </c>
      <c r="AZ29" s="40" t="n">
        <v>44993</v>
      </c>
      <c r="BA29" s="10" t="s">
        <v>307</v>
      </c>
      <c r="BB29" s="36" t="n">
        <v>541.94</v>
      </c>
      <c r="BC29" s="38" t="s">
        <v>308</v>
      </c>
      <c r="BD29" s="33" t="s">
        <v>309</v>
      </c>
      <c r="BE29" s="33" t="s">
        <v>310</v>
      </c>
      <c r="BF29" s="40" t="n">
        <v>44993</v>
      </c>
      <c r="BG29" s="11" t="s">
        <v>311</v>
      </c>
      <c r="BH29" s="36" t="n">
        <v>484.5</v>
      </c>
      <c r="BI29" s="38" t="s">
        <v>312</v>
      </c>
      <c r="BJ29" s="33" t="s">
        <v>313</v>
      </c>
      <c r="BK29" s="33" t="s">
        <v>299</v>
      </c>
      <c r="BL29" s="40" t="n">
        <v>44993</v>
      </c>
    </row>
    <row r="30" customFormat="false" ht="125.25" hidden="false" customHeight="false" outlineLevel="0" collapsed="false">
      <c r="A30" s="12" t="s">
        <v>39</v>
      </c>
      <c r="B30" s="12" t="s">
        <v>314</v>
      </c>
      <c r="C30" s="13" t="s">
        <v>315</v>
      </c>
      <c r="D30" s="14" t="s">
        <v>65</v>
      </c>
      <c r="E30" s="14" t="s">
        <v>66</v>
      </c>
      <c r="F30" s="14" t="n">
        <v>1</v>
      </c>
      <c r="G30" s="14" t="n">
        <v>1</v>
      </c>
      <c r="H30" s="15" t="n">
        <v>485</v>
      </c>
      <c r="I30" s="15" t="n">
        <v>485</v>
      </c>
      <c r="J30" s="53" t="s">
        <v>316</v>
      </c>
      <c r="K30" s="45" t="n">
        <v>29</v>
      </c>
      <c r="L30" s="45" t="s">
        <v>68</v>
      </c>
      <c r="M30" s="45" t="n">
        <v>21000000432</v>
      </c>
      <c r="N30" s="58" t="s">
        <v>317</v>
      </c>
      <c r="O30" s="45" t="s">
        <v>200</v>
      </c>
      <c r="P30" s="17" t="n">
        <f aca="false">SUM(R30:AP30)</f>
        <v>1</v>
      </c>
      <c r="Q30" s="17" t="s">
        <v>71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 t="n">
        <v>1</v>
      </c>
      <c r="AO30" s="17"/>
      <c r="AP30" s="17"/>
      <c r="AQ30" s="58" t="s">
        <v>317</v>
      </c>
      <c r="AR30" s="17" t="s">
        <v>294</v>
      </c>
      <c r="AS30" s="20" t="n">
        <f aca="false">AVERAGE(AV30,BB30,BH30)</f>
        <v>1264.84</v>
      </c>
      <c r="AT30" s="21" t="n">
        <f aca="false">(AS30*1.3)</f>
        <v>1644.292</v>
      </c>
      <c r="AU30" s="7" t="s">
        <v>311</v>
      </c>
      <c r="AV30" s="20" t="n">
        <v>1268.07</v>
      </c>
      <c r="AW30" s="23" t="s">
        <v>318</v>
      </c>
      <c r="AX30" s="17" t="s">
        <v>313</v>
      </c>
      <c r="AY30" s="17" t="s">
        <v>297</v>
      </c>
      <c r="AZ30" s="25" t="n">
        <v>44993</v>
      </c>
      <c r="BA30" s="10" t="s">
        <v>128</v>
      </c>
      <c r="BB30" s="20" t="n">
        <v>1418.57</v>
      </c>
      <c r="BC30" s="16" t="s">
        <v>319</v>
      </c>
      <c r="BD30" s="17" t="s">
        <v>130</v>
      </c>
      <c r="BE30" s="17" t="s">
        <v>299</v>
      </c>
      <c r="BF30" s="25" t="n">
        <v>44993</v>
      </c>
      <c r="BG30" s="11" t="s">
        <v>320</v>
      </c>
      <c r="BH30" s="20" t="n">
        <v>1107.88</v>
      </c>
      <c r="BI30" s="23" t="s">
        <v>321</v>
      </c>
      <c r="BJ30" s="17" t="s">
        <v>322</v>
      </c>
      <c r="BK30" s="17" t="s">
        <v>297</v>
      </c>
      <c r="BL30" s="25" t="n">
        <v>44993</v>
      </c>
    </row>
    <row r="31" customFormat="false" ht="141.75" hidden="false" customHeight="false" outlineLevel="0" collapsed="false">
      <c r="A31" s="28" t="s">
        <v>39</v>
      </c>
      <c r="B31" s="59" t="s">
        <v>323</v>
      </c>
      <c r="C31" s="29" t="s">
        <v>324</v>
      </c>
      <c r="D31" s="30" t="s">
        <v>65</v>
      </c>
      <c r="E31" s="30" t="s">
        <v>66</v>
      </c>
      <c r="F31" s="30" t="n">
        <v>1</v>
      </c>
      <c r="G31" s="30" t="n">
        <v>1</v>
      </c>
      <c r="H31" s="31" t="n">
        <v>500</v>
      </c>
      <c r="I31" s="31" t="n">
        <v>500</v>
      </c>
      <c r="J31" s="60" t="s">
        <v>325</v>
      </c>
      <c r="K31" s="49" t="n">
        <v>30</v>
      </c>
      <c r="L31" s="49" t="s">
        <v>68</v>
      </c>
      <c r="M31" s="49" t="n">
        <v>21000000437</v>
      </c>
      <c r="N31" s="61" t="s">
        <v>326</v>
      </c>
      <c r="O31" s="49" t="s">
        <v>200</v>
      </c>
      <c r="P31" s="33" t="n">
        <f aca="false">SUM(R31:AP31)</f>
        <v>1</v>
      </c>
      <c r="Q31" s="33" t="s">
        <v>71</v>
      </c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 t="n">
        <v>1</v>
      </c>
      <c r="AO31" s="33"/>
      <c r="AP31" s="33"/>
      <c r="AQ31" s="61" t="s">
        <v>326</v>
      </c>
      <c r="AR31" s="33" t="s">
        <v>294</v>
      </c>
      <c r="AS31" s="36" t="n">
        <f aca="false">AVERAGE(AV31,BB31,BH31)</f>
        <v>567.493333333333</v>
      </c>
      <c r="AT31" s="21" t="n">
        <f aca="false">(AS31*1.3)</f>
        <v>737.741333333333</v>
      </c>
      <c r="AU31" s="7" t="s">
        <v>128</v>
      </c>
      <c r="AV31" s="36" t="n">
        <v>611.7</v>
      </c>
      <c r="AW31" s="38" t="s">
        <v>327</v>
      </c>
      <c r="AX31" s="33" t="s">
        <v>130</v>
      </c>
      <c r="AY31" s="33" t="s">
        <v>299</v>
      </c>
      <c r="AZ31" s="40" t="n">
        <v>44993</v>
      </c>
      <c r="BA31" s="10" t="s">
        <v>311</v>
      </c>
      <c r="BB31" s="36" t="n">
        <v>542.93</v>
      </c>
      <c r="BC31" s="38" t="s">
        <v>328</v>
      </c>
      <c r="BD31" s="33" t="s">
        <v>313</v>
      </c>
      <c r="BE31" s="33" t="s">
        <v>297</v>
      </c>
      <c r="BF31" s="40" t="n">
        <v>44993</v>
      </c>
      <c r="BG31" s="27" t="s">
        <v>287</v>
      </c>
      <c r="BH31" s="36" t="n">
        <v>547.85</v>
      </c>
      <c r="BI31" s="38" t="s">
        <v>329</v>
      </c>
      <c r="BJ31" s="33" t="s">
        <v>296</v>
      </c>
      <c r="BK31" s="33" t="s">
        <v>330</v>
      </c>
      <c r="BL31" s="40" t="n">
        <v>44993</v>
      </c>
    </row>
    <row r="32" customFormat="false" ht="154.5" hidden="false" customHeight="false" outlineLevel="0" collapsed="false">
      <c r="A32" s="12" t="s">
        <v>39</v>
      </c>
      <c r="B32" s="62" t="s">
        <v>331</v>
      </c>
      <c r="C32" s="13" t="s">
        <v>332</v>
      </c>
      <c r="D32" s="14" t="s">
        <v>65</v>
      </c>
      <c r="E32" s="14" t="s">
        <v>66</v>
      </c>
      <c r="F32" s="14" t="n">
        <v>1</v>
      </c>
      <c r="G32" s="14" t="n">
        <v>1</v>
      </c>
      <c r="H32" s="15" t="n">
        <v>570</v>
      </c>
      <c r="I32" s="15" t="n">
        <v>570</v>
      </c>
      <c r="J32" s="53" t="s">
        <v>333</v>
      </c>
      <c r="K32" s="45" t="n">
        <v>31</v>
      </c>
      <c r="L32" s="45" t="s">
        <v>68</v>
      </c>
      <c r="M32" s="45" t="n">
        <v>21000000438</v>
      </c>
      <c r="N32" s="58" t="s">
        <v>334</v>
      </c>
      <c r="O32" s="45" t="s">
        <v>200</v>
      </c>
      <c r="P32" s="17" t="n">
        <f aca="false">SUM(R32:AP32)</f>
        <v>1</v>
      </c>
      <c r="Q32" s="17" t="s">
        <v>71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 t="n">
        <v>1</v>
      </c>
      <c r="AO32" s="17"/>
      <c r="AP32" s="17"/>
      <c r="AQ32" s="58" t="s">
        <v>334</v>
      </c>
      <c r="AR32" s="17" t="s">
        <v>294</v>
      </c>
      <c r="AS32" s="20" t="n">
        <f aca="false">AVERAGE(AV32,BB32,BH32)</f>
        <v>381.19</v>
      </c>
      <c r="AT32" s="21" t="n">
        <f aca="false">(AS32*1.3)</f>
        <v>495.547</v>
      </c>
      <c r="AU32" s="7" t="s">
        <v>128</v>
      </c>
      <c r="AV32" s="20" t="n">
        <v>445.57</v>
      </c>
      <c r="AW32" s="23" t="s">
        <v>335</v>
      </c>
      <c r="AX32" s="17" t="s">
        <v>130</v>
      </c>
      <c r="AY32" s="17" t="s">
        <v>297</v>
      </c>
      <c r="AZ32" s="25" t="n">
        <v>44993</v>
      </c>
      <c r="BA32" s="10" t="s">
        <v>107</v>
      </c>
      <c r="BB32" s="20" t="n">
        <v>388</v>
      </c>
      <c r="BC32" s="23" t="s">
        <v>336</v>
      </c>
      <c r="BD32" s="17" t="s">
        <v>301</v>
      </c>
      <c r="BE32" s="17" t="s">
        <v>297</v>
      </c>
      <c r="BF32" s="25" t="n">
        <v>44993</v>
      </c>
      <c r="BG32" s="11" t="s">
        <v>311</v>
      </c>
      <c r="BH32" s="20" t="n">
        <v>310</v>
      </c>
      <c r="BI32" s="23" t="s">
        <v>337</v>
      </c>
      <c r="BJ32" s="17" t="s">
        <v>313</v>
      </c>
      <c r="BK32" s="17" t="s">
        <v>330</v>
      </c>
      <c r="BL32" s="25" t="n">
        <v>44993</v>
      </c>
    </row>
    <row r="33" customFormat="false" ht="141.75" hidden="false" customHeight="false" outlineLevel="0" collapsed="false">
      <c r="A33" s="28" t="s">
        <v>39</v>
      </c>
      <c r="B33" s="59" t="s">
        <v>338</v>
      </c>
      <c r="C33" s="29" t="s">
        <v>339</v>
      </c>
      <c r="D33" s="30" t="s">
        <v>65</v>
      </c>
      <c r="E33" s="30" t="s">
        <v>66</v>
      </c>
      <c r="F33" s="30" t="n">
        <v>1</v>
      </c>
      <c r="G33" s="30" t="n">
        <v>1</v>
      </c>
      <c r="H33" s="31" t="n">
        <v>193</v>
      </c>
      <c r="I33" s="31" t="n">
        <v>193</v>
      </c>
      <c r="J33" s="60" t="s">
        <v>340</v>
      </c>
      <c r="K33" s="49" t="n">
        <v>32</v>
      </c>
      <c r="L33" s="49" t="s">
        <v>68</v>
      </c>
      <c r="M33" s="49" t="n">
        <v>21000000055</v>
      </c>
      <c r="N33" s="61" t="s">
        <v>341</v>
      </c>
      <c r="O33" s="49" t="s">
        <v>200</v>
      </c>
      <c r="P33" s="33" t="n">
        <f aca="false">SUM(R33:AP33)</f>
        <v>1</v>
      </c>
      <c r="Q33" s="33" t="s">
        <v>71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 t="n">
        <v>1</v>
      </c>
      <c r="AO33" s="33"/>
      <c r="AP33" s="33"/>
      <c r="AQ33" s="61" t="s">
        <v>341</v>
      </c>
      <c r="AR33" s="33" t="s">
        <v>294</v>
      </c>
      <c r="AS33" s="36" t="n">
        <f aca="false">AVERAGE(AV33,BB33,BH33)</f>
        <v>531.816666666667</v>
      </c>
      <c r="AT33" s="21" t="n">
        <f aca="false">(AS33*1.3)</f>
        <v>691.361666666667</v>
      </c>
      <c r="AU33" s="7" t="s">
        <v>107</v>
      </c>
      <c r="AV33" s="36" t="n">
        <v>502</v>
      </c>
      <c r="AW33" s="38" t="s">
        <v>342</v>
      </c>
      <c r="AX33" s="33" t="s">
        <v>301</v>
      </c>
      <c r="AY33" s="33" t="s">
        <v>297</v>
      </c>
      <c r="AZ33" s="40" t="n">
        <v>44993</v>
      </c>
      <c r="BA33" s="10" t="s">
        <v>128</v>
      </c>
      <c r="BB33" s="36" t="n">
        <v>588.06</v>
      </c>
      <c r="BC33" s="38" t="s">
        <v>343</v>
      </c>
      <c r="BD33" s="33" t="s">
        <v>130</v>
      </c>
      <c r="BE33" s="33" t="s">
        <v>299</v>
      </c>
      <c r="BF33" s="40" t="n">
        <v>44993</v>
      </c>
      <c r="BG33" s="27" t="s">
        <v>287</v>
      </c>
      <c r="BH33" s="36" t="n">
        <v>505.39</v>
      </c>
      <c r="BI33" s="38" t="s">
        <v>344</v>
      </c>
      <c r="BJ33" s="33" t="s">
        <v>296</v>
      </c>
      <c r="BK33" s="33" t="s">
        <v>330</v>
      </c>
      <c r="BL33" s="40" t="n">
        <v>44993</v>
      </c>
    </row>
    <row r="34" customFormat="false" ht="154.5" hidden="false" customHeight="false" outlineLevel="0" collapsed="false">
      <c r="A34" s="12" t="s">
        <v>39</v>
      </c>
      <c r="B34" s="62" t="s">
        <v>345</v>
      </c>
      <c r="C34" s="13" t="s">
        <v>346</v>
      </c>
      <c r="D34" s="14" t="s">
        <v>65</v>
      </c>
      <c r="E34" s="14" t="s">
        <v>66</v>
      </c>
      <c r="F34" s="14" t="n">
        <v>1</v>
      </c>
      <c r="G34" s="14" t="n">
        <v>1</v>
      </c>
      <c r="H34" s="15" t="n">
        <v>355</v>
      </c>
      <c r="I34" s="15" t="n">
        <v>355</v>
      </c>
      <c r="J34" s="53" t="s">
        <v>347</v>
      </c>
      <c r="K34" s="45" t="n">
        <v>33</v>
      </c>
      <c r="L34" s="45" t="s">
        <v>68</v>
      </c>
      <c r="M34" s="45" t="n">
        <v>21000000566</v>
      </c>
      <c r="N34" s="58" t="s">
        <v>348</v>
      </c>
      <c r="O34" s="45" t="s">
        <v>200</v>
      </c>
      <c r="P34" s="17" t="n">
        <f aca="false">SUM(R34:AP34)</f>
        <v>1</v>
      </c>
      <c r="Q34" s="17" t="s">
        <v>71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 t="n">
        <v>1</v>
      </c>
      <c r="AO34" s="17"/>
      <c r="AP34" s="17"/>
      <c r="AQ34" s="58" t="s">
        <v>348</v>
      </c>
      <c r="AR34" s="17" t="s">
        <v>236</v>
      </c>
      <c r="AS34" s="20" t="n">
        <f aca="false">AVERAGE(AV34,BB34,BH34)</f>
        <v>364.446666666667</v>
      </c>
      <c r="AT34" s="21" t="n">
        <f aca="false">(AS34*1.3)</f>
        <v>473.780666666667</v>
      </c>
      <c r="AU34" s="48" t="s">
        <v>287</v>
      </c>
      <c r="AV34" s="20" t="n">
        <v>340.94</v>
      </c>
      <c r="AW34" s="16" t="s">
        <v>349</v>
      </c>
      <c r="AX34" s="45" t="s">
        <v>134</v>
      </c>
      <c r="AY34" s="17" t="s">
        <v>297</v>
      </c>
      <c r="AZ34" s="25" t="n">
        <v>44994</v>
      </c>
      <c r="BA34" s="44" t="s">
        <v>350</v>
      </c>
      <c r="BB34" s="20" t="n">
        <v>359</v>
      </c>
      <c r="BC34" s="23" t="s">
        <v>351</v>
      </c>
      <c r="BD34" s="45" t="s">
        <v>97</v>
      </c>
      <c r="BE34" s="17" t="s">
        <v>297</v>
      </c>
      <c r="BF34" s="25" t="n">
        <v>44994</v>
      </c>
      <c r="BG34" s="56" t="s">
        <v>352</v>
      </c>
      <c r="BH34" s="20" t="n">
        <v>393.4</v>
      </c>
      <c r="BI34" s="23" t="s">
        <v>353</v>
      </c>
      <c r="BJ34" s="45" t="s">
        <v>354</v>
      </c>
      <c r="BK34" s="17" t="s">
        <v>330</v>
      </c>
      <c r="BL34" s="25" t="n">
        <v>44994</v>
      </c>
    </row>
    <row r="35" customFormat="false" ht="129" hidden="false" customHeight="false" outlineLevel="0" collapsed="false">
      <c r="A35" s="28" t="s">
        <v>39</v>
      </c>
      <c r="B35" s="59" t="s">
        <v>355</v>
      </c>
      <c r="C35" s="29" t="s">
        <v>356</v>
      </c>
      <c r="D35" s="30" t="s">
        <v>65</v>
      </c>
      <c r="E35" s="30" t="s">
        <v>66</v>
      </c>
      <c r="F35" s="30" t="n">
        <v>1</v>
      </c>
      <c r="G35" s="30" t="n">
        <v>1</v>
      </c>
      <c r="H35" s="31" t="n">
        <v>521</v>
      </c>
      <c r="I35" s="31" t="n">
        <v>521</v>
      </c>
      <c r="J35" s="60" t="s">
        <v>357</v>
      </c>
      <c r="K35" s="49" t="n">
        <v>34</v>
      </c>
      <c r="L35" s="49" t="s">
        <v>68</v>
      </c>
      <c r="M35" s="49" t="n">
        <v>21000000491</v>
      </c>
      <c r="N35" s="61" t="s">
        <v>358</v>
      </c>
      <c r="O35" s="33" t="s">
        <v>200</v>
      </c>
      <c r="P35" s="33" t="n">
        <f aca="false">SUM(R35:AP35)</f>
        <v>1</v>
      </c>
      <c r="Q35" s="33" t="s">
        <v>71</v>
      </c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 t="n">
        <v>1</v>
      </c>
      <c r="AO35" s="33"/>
      <c r="AP35" s="33"/>
      <c r="AQ35" s="61" t="s">
        <v>358</v>
      </c>
      <c r="AR35" s="33" t="s">
        <v>236</v>
      </c>
      <c r="AS35" s="36" t="n">
        <f aca="false">AVERAGE(AV35,BB35,BH35)</f>
        <v>447.373333333333</v>
      </c>
      <c r="AT35" s="21" t="n">
        <f aca="false">(AS35*1.3)</f>
        <v>581.585333333333</v>
      </c>
      <c r="AU35" s="48" t="s">
        <v>352</v>
      </c>
      <c r="AV35" s="36" t="n">
        <v>416.67</v>
      </c>
      <c r="AW35" s="32" t="s">
        <v>359</v>
      </c>
      <c r="AX35" s="49" t="s">
        <v>354</v>
      </c>
      <c r="AY35" s="33" t="s">
        <v>299</v>
      </c>
      <c r="AZ35" s="40" t="n">
        <v>44994</v>
      </c>
      <c r="BA35" s="44" t="s">
        <v>287</v>
      </c>
      <c r="BB35" s="36" t="n">
        <v>463.24</v>
      </c>
      <c r="BC35" s="32" t="s">
        <v>360</v>
      </c>
      <c r="BD35" s="49" t="s">
        <v>134</v>
      </c>
      <c r="BE35" s="33" t="s">
        <v>297</v>
      </c>
      <c r="BF35" s="40" t="n">
        <v>44994</v>
      </c>
      <c r="BG35" s="56" t="s">
        <v>361</v>
      </c>
      <c r="BH35" s="36" t="n">
        <v>462.21</v>
      </c>
      <c r="BI35" s="38" t="s">
        <v>362</v>
      </c>
      <c r="BJ35" s="49" t="s">
        <v>363</v>
      </c>
      <c r="BK35" s="33" t="s">
        <v>299</v>
      </c>
      <c r="BL35" s="40" t="n">
        <v>44994</v>
      </c>
    </row>
    <row r="36" customFormat="false" ht="129" hidden="false" customHeight="false" outlineLevel="0" collapsed="false">
      <c r="A36" s="12" t="s">
        <v>39</v>
      </c>
      <c r="B36" s="62" t="s">
        <v>364</v>
      </c>
      <c r="C36" s="13" t="s">
        <v>365</v>
      </c>
      <c r="D36" s="14" t="s">
        <v>65</v>
      </c>
      <c r="E36" s="14" t="s">
        <v>66</v>
      </c>
      <c r="F36" s="14" t="n">
        <v>1</v>
      </c>
      <c r="G36" s="14" t="n">
        <v>1</v>
      </c>
      <c r="H36" s="15" t="n">
        <v>433.5</v>
      </c>
      <c r="I36" s="15" t="n">
        <v>433.5</v>
      </c>
      <c r="J36" s="63" t="s">
        <v>366</v>
      </c>
      <c r="K36" s="64" t="n">
        <v>35</v>
      </c>
      <c r="L36" s="64" t="s">
        <v>68</v>
      </c>
      <c r="M36" s="64" t="n">
        <v>21000000492</v>
      </c>
      <c r="N36" s="58" t="s">
        <v>367</v>
      </c>
      <c r="O36" s="17" t="s">
        <v>200</v>
      </c>
      <c r="P36" s="17" t="n">
        <f aca="false">SUM(R36:AP36)</f>
        <v>1</v>
      </c>
      <c r="Q36" s="17" t="s">
        <v>71</v>
      </c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 t="n">
        <v>1</v>
      </c>
      <c r="AO36" s="17"/>
      <c r="AP36" s="17"/>
      <c r="AQ36" s="58" t="s">
        <v>367</v>
      </c>
      <c r="AR36" s="17" t="s">
        <v>236</v>
      </c>
      <c r="AS36" s="20" t="n">
        <f aca="false">AVERAGE(AV36,BB36,BH36)</f>
        <v>656.573333333333</v>
      </c>
      <c r="AT36" s="21" t="n">
        <f aca="false">(AS36*1.3)</f>
        <v>853.545333333333</v>
      </c>
      <c r="AU36" s="48" t="s">
        <v>368</v>
      </c>
      <c r="AV36" s="20" t="n">
        <v>601.14</v>
      </c>
      <c r="AW36" s="16" t="s">
        <v>369</v>
      </c>
      <c r="AX36" s="45" t="s">
        <v>370</v>
      </c>
      <c r="AY36" s="17" t="s">
        <v>371</v>
      </c>
      <c r="AZ36" s="25" t="n">
        <v>44994</v>
      </c>
      <c r="BA36" s="44" t="s">
        <v>372</v>
      </c>
      <c r="BB36" s="20" t="n">
        <v>645.1</v>
      </c>
      <c r="BC36" s="23" t="s">
        <v>373</v>
      </c>
      <c r="BD36" s="45" t="s">
        <v>309</v>
      </c>
      <c r="BE36" s="17" t="s">
        <v>371</v>
      </c>
      <c r="BF36" s="25" t="n">
        <v>44994</v>
      </c>
      <c r="BG36" s="56" t="s">
        <v>374</v>
      </c>
      <c r="BH36" s="20" t="n">
        <v>723.48</v>
      </c>
      <c r="BI36" s="23" t="s">
        <v>375</v>
      </c>
      <c r="BJ36" s="45" t="s">
        <v>376</v>
      </c>
      <c r="BK36" s="17" t="s">
        <v>330</v>
      </c>
      <c r="BL36" s="25" t="n">
        <v>44994</v>
      </c>
    </row>
    <row r="37" customFormat="false" ht="129" hidden="false" customHeight="false" outlineLevel="0" collapsed="false">
      <c r="A37" s="28" t="s">
        <v>39</v>
      </c>
      <c r="B37" s="59" t="s">
        <v>377</v>
      </c>
      <c r="C37" s="29" t="s">
        <v>378</v>
      </c>
      <c r="D37" s="30" t="s">
        <v>65</v>
      </c>
      <c r="E37" s="30" t="s">
        <v>66</v>
      </c>
      <c r="F37" s="30" t="n">
        <v>1</v>
      </c>
      <c r="G37" s="30" t="n">
        <v>1</v>
      </c>
      <c r="H37" s="31" t="n">
        <v>487</v>
      </c>
      <c r="I37" s="31" t="n">
        <v>487</v>
      </c>
      <c r="J37" s="60" t="s">
        <v>379</v>
      </c>
      <c r="K37" s="49" t="n">
        <v>36</v>
      </c>
      <c r="L37" s="49" t="s">
        <v>68</v>
      </c>
      <c r="M37" s="49" t="n">
        <v>21000000494</v>
      </c>
      <c r="N37" s="61" t="s">
        <v>380</v>
      </c>
      <c r="O37" s="33" t="s">
        <v>200</v>
      </c>
      <c r="P37" s="33" t="n">
        <f aca="false">SUM(R37:AP37)</f>
        <v>1</v>
      </c>
      <c r="Q37" s="33" t="s">
        <v>71</v>
      </c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 t="n">
        <v>1</v>
      </c>
      <c r="AO37" s="33"/>
      <c r="AP37" s="33"/>
      <c r="AQ37" s="61" t="s">
        <v>380</v>
      </c>
      <c r="AR37" s="33" t="s">
        <v>236</v>
      </c>
      <c r="AS37" s="36" t="n">
        <f aca="false">AVERAGE(AV37,BB37,BH37)</f>
        <v>438.173333333333</v>
      </c>
      <c r="AT37" s="21" t="n">
        <f aca="false">(AS37*1.3)</f>
        <v>569.625333333333</v>
      </c>
      <c r="AU37" s="48" t="s">
        <v>352</v>
      </c>
      <c r="AV37" s="36" t="n">
        <v>402.14</v>
      </c>
      <c r="AW37" s="32" t="s">
        <v>381</v>
      </c>
      <c r="AX37" s="49" t="s">
        <v>354</v>
      </c>
      <c r="AY37" s="33" t="s">
        <v>299</v>
      </c>
      <c r="AZ37" s="40" t="n">
        <v>44994</v>
      </c>
      <c r="BA37" s="44" t="s">
        <v>350</v>
      </c>
      <c r="BB37" s="36" t="n">
        <v>475</v>
      </c>
      <c r="BC37" s="60" t="s">
        <v>382</v>
      </c>
      <c r="BD37" s="49" t="s">
        <v>97</v>
      </c>
      <c r="BE37" s="33" t="s">
        <v>297</v>
      </c>
      <c r="BF37" s="40" t="n">
        <v>44994</v>
      </c>
      <c r="BG37" s="56" t="s">
        <v>287</v>
      </c>
      <c r="BH37" s="36" t="n">
        <v>437.38</v>
      </c>
      <c r="BI37" s="38" t="s">
        <v>383</v>
      </c>
      <c r="BJ37" s="49" t="s">
        <v>134</v>
      </c>
      <c r="BK37" s="33" t="s">
        <v>330</v>
      </c>
      <c r="BL37" s="40" t="n">
        <v>44994</v>
      </c>
    </row>
    <row r="38" customFormat="false" ht="154.5" hidden="false" customHeight="false" outlineLevel="0" collapsed="false">
      <c r="A38" s="12" t="s">
        <v>39</v>
      </c>
      <c r="B38" s="62" t="s">
        <v>384</v>
      </c>
      <c r="C38" s="13" t="s">
        <v>385</v>
      </c>
      <c r="D38" s="14" t="s">
        <v>65</v>
      </c>
      <c r="E38" s="14" t="s">
        <v>66</v>
      </c>
      <c r="F38" s="14" t="n">
        <v>1</v>
      </c>
      <c r="G38" s="14" t="n">
        <v>1</v>
      </c>
      <c r="H38" s="15" t="n">
        <v>560</v>
      </c>
      <c r="I38" s="15" t="n">
        <v>560</v>
      </c>
      <c r="J38" s="53" t="s">
        <v>386</v>
      </c>
      <c r="K38" s="45" t="n">
        <v>37</v>
      </c>
      <c r="L38" s="45" t="s">
        <v>68</v>
      </c>
      <c r="M38" s="45" t="n">
        <v>21000000511</v>
      </c>
      <c r="N38" s="58" t="s">
        <v>387</v>
      </c>
      <c r="O38" s="17" t="s">
        <v>200</v>
      </c>
      <c r="P38" s="17" t="n">
        <f aca="false">SUM(R38:AP38)</f>
        <v>1</v>
      </c>
      <c r="Q38" s="17" t="s">
        <v>71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 t="n">
        <v>1</v>
      </c>
      <c r="AO38" s="17"/>
      <c r="AP38" s="17"/>
      <c r="AQ38" s="58" t="s">
        <v>387</v>
      </c>
      <c r="AR38" s="17" t="s">
        <v>236</v>
      </c>
      <c r="AS38" s="20" t="n">
        <f aca="false">AVERAGE(AV38,BB38,BH38)</f>
        <v>573.453333333333</v>
      </c>
      <c r="AT38" s="21" t="n">
        <f aca="false">(AS38*1.3)</f>
        <v>745.489333333333</v>
      </c>
      <c r="AU38" s="48" t="s">
        <v>361</v>
      </c>
      <c r="AV38" s="20" t="n">
        <v>603.94</v>
      </c>
      <c r="AW38" s="16" t="s">
        <v>388</v>
      </c>
      <c r="AX38" s="45" t="s">
        <v>363</v>
      </c>
      <c r="AY38" s="17" t="s">
        <v>299</v>
      </c>
      <c r="AZ38" s="25" t="n">
        <v>44994</v>
      </c>
      <c r="BA38" s="44" t="s">
        <v>350</v>
      </c>
      <c r="BB38" s="20" t="n">
        <v>610</v>
      </c>
      <c r="BC38" s="16" t="s">
        <v>389</v>
      </c>
      <c r="BD38" s="45" t="s">
        <v>97</v>
      </c>
      <c r="BE38" s="17" t="s">
        <v>297</v>
      </c>
      <c r="BF38" s="25" t="n">
        <v>44994</v>
      </c>
      <c r="BG38" s="56" t="s">
        <v>352</v>
      </c>
      <c r="BH38" s="20" t="n">
        <v>506.42</v>
      </c>
      <c r="BI38" s="16" t="s">
        <v>390</v>
      </c>
      <c r="BJ38" s="45" t="s">
        <v>354</v>
      </c>
      <c r="BK38" s="17" t="s">
        <v>330</v>
      </c>
      <c r="BL38" s="25" t="n">
        <v>44994</v>
      </c>
    </row>
    <row r="39" customFormat="false" ht="597.75" hidden="false" customHeight="false" outlineLevel="0" collapsed="false">
      <c r="A39" s="28" t="s">
        <v>28</v>
      </c>
      <c r="B39" s="28" t="s">
        <v>391</v>
      </c>
      <c r="C39" s="29" t="s">
        <v>392</v>
      </c>
      <c r="D39" s="30" t="s">
        <v>393</v>
      </c>
      <c r="E39" s="30" t="s">
        <v>66</v>
      </c>
      <c r="F39" s="30" t="n">
        <v>2</v>
      </c>
      <c r="G39" s="30" t="n">
        <v>2</v>
      </c>
      <c r="H39" s="31" t="n">
        <v>2800</v>
      </c>
      <c r="I39" s="31" t="n">
        <v>5600</v>
      </c>
      <c r="J39" s="38" t="s">
        <v>394</v>
      </c>
      <c r="K39" s="49" t="n">
        <v>38</v>
      </c>
      <c r="L39" s="33" t="s">
        <v>68</v>
      </c>
      <c r="M39" s="33" t="n">
        <v>21000000631</v>
      </c>
      <c r="N39" s="34" t="s">
        <v>395</v>
      </c>
      <c r="O39" s="33" t="s">
        <v>200</v>
      </c>
      <c r="P39" s="33" t="n">
        <f aca="false">SUM(R39:AP39)</f>
        <v>2</v>
      </c>
      <c r="Q39" s="33" t="s">
        <v>71</v>
      </c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 t="n">
        <v>2</v>
      </c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4"/>
      <c r="AR39" s="33"/>
      <c r="AS39" s="36"/>
      <c r="AT39" s="21"/>
      <c r="AU39" s="65"/>
      <c r="AV39" s="20"/>
      <c r="AW39" s="38"/>
      <c r="AX39" s="66"/>
      <c r="AY39" s="17"/>
      <c r="AZ39" s="67"/>
      <c r="BA39" s="44"/>
      <c r="BB39" s="68"/>
      <c r="BC39" s="33"/>
      <c r="BD39" s="49"/>
      <c r="BE39" s="33"/>
      <c r="BF39" s="67"/>
      <c r="BG39" s="69"/>
      <c r="BH39" s="70"/>
      <c r="BI39" s="33"/>
      <c r="BJ39" s="71"/>
      <c r="BK39" s="33"/>
      <c r="BL39" s="67"/>
    </row>
    <row r="40" customFormat="false" ht="116.25" hidden="false" customHeight="false" outlineLevel="0" collapsed="false">
      <c r="A40" s="12" t="s">
        <v>39</v>
      </c>
      <c r="B40" s="62" t="s">
        <v>396</v>
      </c>
      <c r="C40" s="13" t="s">
        <v>397</v>
      </c>
      <c r="D40" s="14" t="s">
        <v>65</v>
      </c>
      <c r="E40" s="14" t="s">
        <v>66</v>
      </c>
      <c r="F40" s="14" t="n">
        <v>1</v>
      </c>
      <c r="G40" s="14" t="n">
        <v>1</v>
      </c>
      <c r="H40" s="15" t="n">
        <v>195</v>
      </c>
      <c r="I40" s="15" t="n">
        <v>195</v>
      </c>
      <c r="J40" s="53" t="s">
        <v>398</v>
      </c>
      <c r="K40" s="45" t="n">
        <v>39</v>
      </c>
      <c r="L40" s="45" t="s">
        <v>68</v>
      </c>
      <c r="M40" s="45" t="n">
        <v>21000000512</v>
      </c>
      <c r="N40" s="58" t="s">
        <v>399</v>
      </c>
      <c r="O40" s="17" t="s">
        <v>200</v>
      </c>
      <c r="P40" s="17" t="n">
        <f aca="false">SUM(R40:AP40)</f>
        <v>1</v>
      </c>
      <c r="Q40" s="17" t="s">
        <v>71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 t="n">
        <v>1</v>
      </c>
      <c r="AO40" s="17"/>
      <c r="AP40" s="17"/>
      <c r="AQ40" s="58" t="s">
        <v>399</v>
      </c>
      <c r="AR40" s="17" t="s">
        <v>236</v>
      </c>
      <c r="AS40" s="20" t="n">
        <f aca="false">AVERAGE(AV40,BB40,BH40)</f>
        <v>307.386666666667</v>
      </c>
      <c r="AT40" s="21" t="n">
        <f aca="false">(AS40*1.3)</f>
        <v>399.602666666667</v>
      </c>
      <c r="AU40" s="48" t="s">
        <v>352</v>
      </c>
      <c r="AV40" s="20" t="n">
        <v>307.39</v>
      </c>
      <c r="AW40" s="16" t="s">
        <v>400</v>
      </c>
      <c r="AX40" s="45" t="s">
        <v>354</v>
      </c>
      <c r="AY40" s="17" t="s">
        <v>401</v>
      </c>
      <c r="AZ40" s="25" t="n">
        <v>44994</v>
      </c>
      <c r="BA40" s="44" t="s">
        <v>372</v>
      </c>
      <c r="BB40" s="20" t="n">
        <v>303.77</v>
      </c>
      <c r="BC40" s="23" t="s">
        <v>402</v>
      </c>
      <c r="BD40" s="45" t="s">
        <v>309</v>
      </c>
      <c r="BE40" s="17" t="s">
        <v>297</v>
      </c>
      <c r="BF40" s="25" t="n">
        <v>44994</v>
      </c>
      <c r="BG40" s="56" t="s">
        <v>350</v>
      </c>
      <c r="BH40" s="20" t="n">
        <v>311</v>
      </c>
      <c r="BI40" s="16" t="s">
        <v>403</v>
      </c>
      <c r="BJ40" s="45" t="s">
        <v>97</v>
      </c>
      <c r="BK40" s="17" t="s">
        <v>297</v>
      </c>
      <c r="BL40" s="25" t="n">
        <v>44994</v>
      </c>
    </row>
    <row r="41" customFormat="false" ht="170.25" hidden="false" customHeight="false" outlineLevel="0" collapsed="false">
      <c r="A41" s="28" t="s">
        <v>22</v>
      </c>
      <c r="B41" s="28" t="s">
        <v>404</v>
      </c>
      <c r="C41" s="29" t="s">
        <v>405</v>
      </c>
      <c r="D41" s="30" t="s">
        <v>65</v>
      </c>
      <c r="E41" s="30" t="s">
        <v>66</v>
      </c>
      <c r="F41" s="30" t="n">
        <v>35</v>
      </c>
      <c r="G41" s="30" t="n">
        <v>35</v>
      </c>
      <c r="H41" s="31" t="n">
        <v>38.75</v>
      </c>
      <c r="I41" s="31" t="n">
        <v>1356.25</v>
      </c>
      <c r="J41" s="32" t="s">
        <v>406</v>
      </c>
      <c r="K41" s="49" t="n">
        <v>40</v>
      </c>
      <c r="L41" s="33" t="s">
        <v>68</v>
      </c>
      <c r="M41" s="33" t="n">
        <v>21000000127</v>
      </c>
      <c r="N41" s="34" t="s">
        <v>407</v>
      </c>
      <c r="O41" s="33" t="s">
        <v>200</v>
      </c>
      <c r="P41" s="33" t="n">
        <f aca="false">SUM(R41:AP41)</f>
        <v>37</v>
      </c>
      <c r="Q41" s="33" t="s">
        <v>71</v>
      </c>
      <c r="R41" s="33"/>
      <c r="S41" s="33"/>
      <c r="T41" s="33"/>
      <c r="U41" s="33"/>
      <c r="V41" s="33" t="n">
        <v>1</v>
      </c>
      <c r="W41" s="33" t="n">
        <v>35</v>
      </c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 t="n">
        <v>1</v>
      </c>
      <c r="AP41" s="33"/>
      <c r="AQ41" s="35" t="s">
        <v>407</v>
      </c>
      <c r="AR41" s="33" t="s">
        <v>236</v>
      </c>
      <c r="AS41" s="36" t="n">
        <f aca="false">AVERAGE(AV41,BB41,BH41)</f>
        <v>27.85</v>
      </c>
      <c r="AT41" s="21" t="n">
        <f aca="false">(AS41*1.3)</f>
        <v>36.205</v>
      </c>
      <c r="AU41" s="48" t="s">
        <v>171</v>
      </c>
      <c r="AV41" s="36" t="n">
        <v>31.55</v>
      </c>
      <c r="AW41" s="38" t="s">
        <v>408</v>
      </c>
      <c r="AX41" s="49" t="s">
        <v>409</v>
      </c>
      <c r="AY41" s="33" t="s">
        <v>174</v>
      </c>
      <c r="AZ41" s="40" t="n">
        <v>44994</v>
      </c>
      <c r="BA41" s="44" t="s">
        <v>128</v>
      </c>
      <c r="BB41" s="36" t="n">
        <v>22</v>
      </c>
      <c r="BC41" s="38" t="s">
        <v>410</v>
      </c>
      <c r="BD41" s="49" t="s">
        <v>411</v>
      </c>
      <c r="BE41" s="33" t="s">
        <v>98</v>
      </c>
      <c r="BF41" s="40" t="n">
        <v>44994</v>
      </c>
      <c r="BG41" s="56" t="s">
        <v>287</v>
      </c>
      <c r="BH41" s="36" t="n">
        <v>30</v>
      </c>
      <c r="BI41" s="38" t="s">
        <v>412</v>
      </c>
      <c r="BJ41" s="49" t="s">
        <v>134</v>
      </c>
      <c r="BK41" s="33" t="s">
        <v>289</v>
      </c>
      <c r="BL41" s="40" t="n">
        <v>44994</v>
      </c>
    </row>
    <row r="42" customFormat="false" ht="350.25" hidden="false" customHeight="false" outlineLevel="0" collapsed="false">
      <c r="A42" s="12" t="s">
        <v>40</v>
      </c>
      <c r="B42" s="12" t="s">
        <v>413</v>
      </c>
      <c r="C42" s="13" t="s">
        <v>414</v>
      </c>
      <c r="D42" s="14" t="s">
        <v>65</v>
      </c>
      <c r="E42" s="14" t="s">
        <v>66</v>
      </c>
      <c r="F42" s="14" t="n">
        <v>2</v>
      </c>
      <c r="G42" s="14" t="n">
        <v>2</v>
      </c>
      <c r="H42" s="15" t="n">
        <v>47.67</v>
      </c>
      <c r="I42" s="15" t="n">
        <v>95.34</v>
      </c>
      <c r="J42" s="23" t="s">
        <v>415</v>
      </c>
      <c r="K42" s="45" t="n">
        <v>41</v>
      </c>
      <c r="L42" s="17" t="s">
        <v>68</v>
      </c>
      <c r="M42" s="17" t="n">
        <v>21000000048</v>
      </c>
      <c r="N42" s="18" t="s">
        <v>416</v>
      </c>
      <c r="O42" s="17" t="s">
        <v>115</v>
      </c>
      <c r="P42" s="17" t="n">
        <f aca="false">SUM(R42:AP42)</f>
        <v>2</v>
      </c>
      <c r="Q42" s="17" t="s">
        <v>71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 t="n">
        <v>2</v>
      </c>
      <c r="AP42" s="17"/>
      <c r="AQ42" s="19" t="s">
        <v>416</v>
      </c>
      <c r="AR42" s="17" t="s">
        <v>236</v>
      </c>
      <c r="AS42" s="20" t="n">
        <f aca="false">AVERAGE(AV42,BB42,BH42)</f>
        <v>70.52</v>
      </c>
      <c r="AT42" s="21" t="n">
        <f aca="false">(AS42*1.3)</f>
        <v>91.676</v>
      </c>
      <c r="AU42" s="48" t="s">
        <v>128</v>
      </c>
      <c r="AV42" s="20" t="n">
        <v>65.5</v>
      </c>
      <c r="AW42" s="16" t="s">
        <v>417</v>
      </c>
      <c r="AX42" s="45" t="s">
        <v>130</v>
      </c>
      <c r="AY42" s="17" t="s">
        <v>131</v>
      </c>
      <c r="AZ42" s="25" t="n">
        <v>44994</v>
      </c>
      <c r="BA42" s="44" t="s">
        <v>107</v>
      </c>
      <c r="BB42" s="20" t="n">
        <v>62.38</v>
      </c>
      <c r="BC42" s="23" t="s">
        <v>418</v>
      </c>
      <c r="BD42" s="45" t="s">
        <v>109</v>
      </c>
      <c r="BE42" s="17" t="s">
        <v>110</v>
      </c>
      <c r="BF42" s="25" t="n">
        <v>44994</v>
      </c>
      <c r="BG42" s="56" t="s">
        <v>104</v>
      </c>
      <c r="BH42" s="20" t="n">
        <v>83.68</v>
      </c>
      <c r="BI42" s="16" t="s">
        <v>419</v>
      </c>
      <c r="BJ42" s="45" t="s">
        <v>420</v>
      </c>
      <c r="BK42" s="17" t="s">
        <v>110</v>
      </c>
      <c r="BL42" s="25" t="n">
        <v>44994</v>
      </c>
    </row>
    <row r="43" customFormat="false" ht="496.5" hidden="false" customHeight="false" outlineLevel="0" collapsed="false">
      <c r="A43" s="28" t="s">
        <v>17</v>
      </c>
      <c r="B43" s="28" t="s">
        <v>421</v>
      </c>
      <c r="C43" s="29" t="s">
        <v>422</v>
      </c>
      <c r="D43" s="30" t="s">
        <v>65</v>
      </c>
      <c r="E43" s="30" t="s">
        <v>66</v>
      </c>
      <c r="F43" s="30" t="n">
        <v>12</v>
      </c>
      <c r="G43" s="30" t="n">
        <v>12</v>
      </c>
      <c r="H43" s="31" t="n">
        <v>7.99</v>
      </c>
      <c r="I43" s="31" t="n">
        <v>95.88</v>
      </c>
      <c r="J43" s="38" t="s">
        <v>423</v>
      </c>
      <c r="K43" s="49" t="n">
        <v>42</v>
      </c>
      <c r="L43" s="33" t="s">
        <v>68</v>
      </c>
      <c r="M43" s="33" t="n">
        <v>21000000495</v>
      </c>
      <c r="N43" s="34" t="s">
        <v>424</v>
      </c>
      <c r="O43" s="33" t="s">
        <v>115</v>
      </c>
      <c r="P43" s="33" t="n">
        <f aca="false">SUM(R43:AP43)</f>
        <v>227</v>
      </c>
      <c r="Q43" s="33" t="s">
        <v>71</v>
      </c>
      <c r="R43" s="33" t="n">
        <v>12</v>
      </c>
      <c r="S43" s="33"/>
      <c r="T43" s="33"/>
      <c r="U43" s="33"/>
      <c r="V43" s="33"/>
      <c r="W43" s="33" t="n">
        <v>10</v>
      </c>
      <c r="X43" s="33"/>
      <c r="Y43" s="33"/>
      <c r="Z43" s="33"/>
      <c r="AA43" s="33"/>
      <c r="AB43" s="33"/>
      <c r="AC43" s="33" t="n">
        <v>5</v>
      </c>
      <c r="AD43" s="33" t="n">
        <v>200</v>
      </c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5" t="s">
        <v>424</v>
      </c>
      <c r="AR43" s="33" t="s">
        <v>236</v>
      </c>
      <c r="AS43" s="36" t="n">
        <f aca="false">AVERAGE(AV43,BB43,BH43)</f>
        <v>10.6633333333333</v>
      </c>
      <c r="AT43" s="36" t="n">
        <f aca="false">(AS43*1.3)</f>
        <v>13.8623333333333</v>
      </c>
      <c r="AU43" s="48" t="s">
        <v>425</v>
      </c>
      <c r="AV43" s="36" t="n">
        <v>11</v>
      </c>
      <c r="AW43" s="38" t="s">
        <v>426</v>
      </c>
      <c r="AX43" s="49" t="s">
        <v>427</v>
      </c>
      <c r="AY43" s="33" t="s">
        <v>428</v>
      </c>
      <c r="AZ43" s="40" t="n">
        <v>44994</v>
      </c>
      <c r="BA43" s="44" t="s">
        <v>429</v>
      </c>
      <c r="BB43" s="36" t="n">
        <v>11</v>
      </c>
      <c r="BC43" s="32" t="s">
        <v>430</v>
      </c>
      <c r="BD43" s="49" t="s">
        <v>431</v>
      </c>
      <c r="BE43" s="33" t="s">
        <v>432</v>
      </c>
      <c r="BF43" s="40" t="n">
        <v>44994</v>
      </c>
      <c r="BG43" s="56" t="s">
        <v>433</v>
      </c>
      <c r="BH43" s="36" t="n">
        <v>9.99</v>
      </c>
      <c r="BI43" s="32" t="s">
        <v>434</v>
      </c>
      <c r="BJ43" s="49" t="s">
        <v>435</v>
      </c>
      <c r="BK43" s="33" t="s">
        <v>436</v>
      </c>
      <c r="BL43" s="40" t="n">
        <v>44994</v>
      </c>
    </row>
    <row r="44" customFormat="false" ht="327.75" hidden="false" customHeight="false" outlineLevel="0" collapsed="false">
      <c r="A44" s="12" t="s">
        <v>22</v>
      </c>
      <c r="B44" s="12" t="s">
        <v>437</v>
      </c>
      <c r="C44" s="13" t="s">
        <v>438</v>
      </c>
      <c r="D44" s="14" t="s">
        <v>65</v>
      </c>
      <c r="E44" s="14" t="s">
        <v>66</v>
      </c>
      <c r="F44" s="14" t="n">
        <v>53</v>
      </c>
      <c r="G44" s="14" t="n">
        <v>53</v>
      </c>
      <c r="H44" s="15" t="n">
        <v>20</v>
      </c>
      <c r="I44" s="15" t="n">
        <v>1060</v>
      </c>
      <c r="J44" s="16" t="s">
        <v>439</v>
      </c>
      <c r="K44" s="45" t="n">
        <v>43</v>
      </c>
      <c r="L44" s="17" t="s">
        <v>68</v>
      </c>
      <c r="M44" s="17" t="n">
        <v>21000000084</v>
      </c>
      <c r="N44" s="18" t="s">
        <v>440</v>
      </c>
      <c r="O44" s="17" t="s">
        <v>115</v>
      </c>
      <c r="P44" s="17" t="n">
        <f aca="false">SUM(R44:AP44)</f>
        <v>197</v>
      </c>
      <c r="Q44" s="17" t="s">
        <v>71</v>
      </c>
      <c r="R44" s="17"/>
      <c r="S44" s="17"/>
      <c r="T44" s="17"/>
      <c r="U44" s="17"/>
      <c r="V44" s="17"/>
      <c r="W44" s="17" t="n">
        <v>53</v>
      </c>
      <c r="X44" s="17"/>
      <c r="Y44" s="17"/>
      <c r="Z44" s="17" t="n">
        <v>30</v>
      </c>
      <c r="AA44" s="17"/>
      <c r="AB44" s="17"/>
      <c r="AC44" s="17" t="n">
        <v>11</v>
      </c>
      <c r="AD44" s="17"/>
      <c r="AE44" s="17" t="n">
        <v>20</v>
      </c>
      <c r="AF44" s="17"/>
      <c r="AG44" s="17"/>
      <c r="AH44" s="17" t="n">
        <v>5</v>
      </c>
      <c r="AI44" s="17" t="n">
        <v>13</v>
      </c>
      <c r="AJ44" s="17" t="n">
        <v>5</v>
      </c>
      <c r="AK44" s="17" t="n">
        <v>25</v>
      </c>
      <c r="AL44" s="17"/>
      <c r="AM44" s="17"/>
      <c r="AN44" s="17" t="n">
        <v>20</v>
      </c>
      <c r="AO44" s="17"/>
      <c r="AP44" s="17" t="n">
        <v>15</v>
      </c>
      <c r="AQ44" s="19" t="s">
        <v>440</v>
      </c>
      <c r="AR44" s="17" t="s">
        <v>236</v>
      </c>
      <c r="AS44" s="20" t="n">
        <f aca="false">AVERAGE(AV44,BB44,BH44)</f>
        <v>29.9566666666667</v>
      </c>
      <c r="AT44" s="21" t="n">
        <f aca="false">(AS44*1.3)</f>
        <v>38.9436666666667</v>
      </c>
      <c r="AU44" s="48" t="s">
        <v>125</v>
      </c>
      <c r="AV44" s="20" t="n">
        <v>28.25</v>
      </c>
      <c r="AW44" s="16" t="s">
        <v>441</v>
      </c>
      <c r="AX44" s="45" t="s">
        <v>127</v>
      </c>
      <c r="AY44" s="17" t="s">
        <v>110</v>
      </c>
      <c r="AZ44" s="25" t="n">
        <v>44995</v>
      </c>
      <c r="BA44" s="44" t="s">
        <v>128</v>
      </c>
      <c r="BB44" s="72" t="n">
        <v>35.06</v>
      </c>
      <c r="BC44" s="23" t="s">
        <v>442</v>
      </c>
      <c r="BD44" s="45" t="s">
        <v>130</v>
      </c>
      <c r="BE44" s="17" t="s">
        <v>131</v>
      </c>
      <c r="BF44" s="25" t="n">
        <v>44995</v>
      </c>
      <c r="BG44" s="56" t="s">
        <v>361</v>
      </c>
      <c r="BH44" s="20" t="n">
        <v>26.56</v>
      </c>
      <c r="BI44" s="23" t="s">
        <v>443</v>
      </c>
      <c r="BJ44" s="45" t="s">
        <v>363</v>
      </c>
      <c r="BK44" s="17" t="s">
        <v>444</v>
      </c>
      <c r="BL44" s="25" t="n">
        <v>44995</v>
      </c>
    </row>
    <row r="45" customFormat="false" ht="294" hidden="false" customHeight="false" outlineLevel="0" collapsed="false">
      <c r="A45" s="28" t="s">
        <v>17</v>
      </c>
      <c r="B45" s="28" t="s">
        <v>445</v>
      </c>
      <c r="C45" s="29" t="s">
        <v>446</v>
      </c>
      <c r="D45" s="30" t="s">
        <v>65</v>
      </c>
      <c r="E45" s="30" t="s">
        <v>66</v>
      </c>
      <c r="F45" s="30" t="n">
        <v>10</v>
      </c>
      <c r="G45" s="30" t="n">
        <v>10</v>
      </c>
      <c r="H45" s="31" t="n">
        <v>45</v>
      </c>
      <c r="I45" s="31" t="n">
        <v>450</v>
      </c>
      <c r="J45" s="32" t="s">
        <v>447</v>
      </c>
      <c r="K45" s="49" t="n">
        <v>44</v>
      </c>
      <c r="L45" s="33" t="s">
        <v>68</v>
      </c>
      <c r="M45" s="33" t="n">
        <v>21000000498</v>
      </c>
      <c r="N45" s="34" t="s">
        <v>448</v>
      </c>
      <c r="O45" s="33" t="s">
        <v>115</v>
      </c>
      <c r="P45" s="33" t="n">
        <f aca="false">SUM(R45:AP45)</f>
        <v>10</v>
      </c>
      <c r="Q45" s="33" t="s">
        <v>71</v>
      </c>
      <c r="R45" s="33" t="n">
        <v>10</v>
      </c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5" t="s">
        <v>448</v>
      </c>
      <c r="AR45" s="33" t="s">
        <v>236</v>
      </c>
      <c r="AS45" s="36" t="n">
        <f aca="false">AVERAGE(AV45,BB45,BH45)</f>
        <v>67.815</v>
      </c>
      <c r="AT45" s="21" t="n">
        <f aca="false">(AS45*1.3)</f>
        <v>88.1595</v>
      </c>
      <c r="AU45" s="48" t="s">
        <v>128</v>
      </c>
      <c r="AV45" s="36" t="n">
        <v>69.87</v>
      </c>
      <c r="AW45" s="32" t="s">
        <v>449</v>
      </c>
      <c r="AX45" s="49" t="s">
        <v>411</v>
      </c>
      <c r="AY45" s="33" t="s">
        <v>110</v>
      </c>
      <c r="AZ45" s="40" t="n">
        <v>44995</v>
      </c>
      <c r="BA45" s="44" t="s">
        <v>107</v>
      </c>
      <c r="BB45" s="36" t="n">
        <v>65.76</v>
      </c>
      <c r="BC45" s="38" t="s">
        <v>450</v>
      </c>
      <c r="BD45" s="49" t="s">
        <v>109</v>
      </c>
      <c r="BE45" s="33" t="s">
        <v>110</v>
      </c>
      <c r="BF45" s="40" t="n">
        <v>44995</v>
      </c>
      <c r="BG45" s="11"/>
      <c r="BH45" s="36"/>
      <c r="BI45" s="33"/>
      <c r="BJ45" s="33"/>
      <c r="BK45" s="33"/>
      <c r="BL45" s="33"/>
    </row>
    <row r="46" customFormat="false" ht="429" hidden="false" customHeight="false" outlineLevel="0" collapsed="false">
      <c r="A46" s="12" t="s">
        <v>19</v>
      </c>
      <c r="B46" s="12" t="s">
        <v>451</v>
      </c>
      <c r="C46" s="13" t="s">
        <v>452</v>
      </c>
      <c r="D46" s="14" t="s">
        <v>65</v>
      </c>
      <c r="E46" s="14" t="s">
        <v>66</v>
      </c>
      <c r="F46" s="14" t="n">
        <v>12</v>
      </c>
      <c r="G46" s="14" t="n">
        <v>12</v>
      </c>
      <c r="H46" s="15" t="n">
        <v>8.99</v>
      </c>
      <c r="I46" s="15" t="n">
        <v>107.88</v>
      </c>
      <c r="J46" s="23" t="s">
        <v>453</v>
      </c>
      <c r="K46" s="45" t="n">
        <v>45</v>
      </c>
      <c r="L46" s="17" t="s">
        <v>68</v>
      </c>
      <c r="M46" s="17" t="n">
        <v>21000000083</v>
      </c>
      <c r="N46" s="18" t="s">
        <v>454</v>
      </c>
      <c r="O46" s="17" t="s">
        <v>115</v>
      </c>
      <c r="P46" s="17" t="n">
        <f aca="false">SUM(R46:AP46)</f>
        <v>474</v>
      </c>
      <c r="Q46" s="17" t="s">
        <v>71</v>
      </c>
      <c r="R46" s="17"/>
      <c r="S46" s="17"/>
      <c r="T46" s="17" t="n">
        <v>30</v>
      </c>
      <c r="U46" s="17"/>
      <c r="V46" s="17"/>
      <c r="W46" s="17" t="n">
        <v>52</v>
      </c>
      <c r="X46" s="17"/>
      <c r="Y46" s="17" t="n">
        <v>10</v>
      </c>
      <c r="Z46" s="17"/>
      <c r="AA46" s="17"/>
      <c r="AB46" s="17" t="n">
        <v>10</v>
      </c>
      <c r="AC46" s="17"/>
      <c r="AD46" s="17"/>
      <c r="AE46" s="17"/>
      <c r="AF46" s="17"/>
      <c r="AG46" s="17"/>
      <c r="AH46" s="17"/>
      <c r="AI46" s="17"/>
      <c r="AJ46" s="17"/>
      <c r="AK46" s="17" t="n">
        <v>372</v>
      </c>
      <c r="AL46" s="17"/>
      <c r="AM46" s="17"/>
      <c r="AN46" s="17"/>
      <c r="AO46" s="17"/>
      <c r="AP46" s="17"/>
      <c r="AQ46" s="19" t="s">
        <v>454</v>
      </c>
      <c r="AR46" s="17" t="s">
        <v>236</v>
      </c>
      <c r="AS46" s="20" t="n">
        <f aca="false">AVERAGE(AV46,BB46,BH46)</f>
        <v>14.83</v>
      </c>
      <c r="AT46" s="21" t="n">
        <f aca="false">(AS46*1.3)</f>
        <v>19.279</v>
      </c>
      <c r="AU46" s="48" t="s">
        <v>455</v>
      </c>
      <c r="AV46" s="20" t="n">
        <v>13.7</v>
      </c>
      <c r="AW46" s="23" t="s">
        <v>456</v>
      </c>
      <c r="AX46" s="45" t="s">
        <v>457</v>
      </c>
      <c r="AY46" s="17" t="s">
        <v>458</v>
      </c>
      <c r="AZ46" s="25" t="n">
        <v>44995</v>
      </c>
      <c r="BA46" s="44" t="s">
        <v>459</v>
      </c>
      <c r="BB46" s="20" t="n">
        <v>12.9</v>
      </c>
      <c r="BC46" s="16" t="s">
        <v>460</v>
      </c>
      <c r="BD46" s="45" t="s">
        <v>461</v>
      </c>
      <c r="BE46" s="45" t="s">
        <v>458</v>
      </c>
      <c r="BF46" s="25" t="n">
        <v>44995</v>
      </c>
      <c r="BG46" s="56" t="s">
        <v>462</v>
      </c>
      <c r="BH46" s="20" t="n">
        <v>17.89</v>
      </c>
      <c r="BI46" s="23" t="s">
        <v>463</v>
      </c>
      <c r="BJ46" s="45" t="s">
        <v>464</v>
      </c>
      <c r="BK46" s="17" t="s">
        <v>432</v>
      </c>
      <c r="BL46" s="25" t="n">
        <v>44995</v>
      </c>
    </row>
    <row r="47" customFormat="false" ht="339" hidden="false" customHeight="false" outlineLevel="0" collapsed="false">
      <c r="A47" s="28" t="s">
        <v>35</v>
      </c>
      <c r="B47" s="28" t="s">
        <v>465</v>
      </c>
      <c r="C47" s="29" t="n">
        <v>348275</v>
      </c>
      <c r="D47" s="30" t="s">
        <v>65</v>
      </c>
      <c r="E47" s="30" t="s">
        <v>66</v>
      </c>
      <c r="F47" s="30" t="n">
        <v>3</v>
      </c>
      <c r="G47" s="30" t="n">
        <v>1</v>
      </c>
      <c r="H47" s="31" t="n">
        <v>17.92</v>
      </c>
      <c r="I47" s="31" t="n">
        <v>17.92</v>
      </c>
      <c r="J47" s="32" t="s">
        <v>466</v>
      </c>
      <c r="K47" s="49" t="n">
        <v>46</v>
      </c>
      <c r="L47" s="33" t="s">
        <v>68</v>
      </c>
      <c r="M47" s="33" t="n">
        <v>21000000584</v>
      </c>
      <c r="N47" s="34" t="s">
        <v>467</v>
      </c>
      <c r="O47" s="33" t="s">
        <v>115</v>
      </c>
      <c r="P47" s="33" t="n">
        <f aca="false">SUM(R47:AP47)</f>
        <v>1</v>
      </c>
      <c r="Q47" s="33" t="s">
        <v>71</v>
      </c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0"/>
      <c r="AF47" s="33"/>
      <c r="AG47" s="33"/>
      <c r="AH47" s="33"/>
      <c r="AI47" s="33"/>
      <c r="AJ47" s="33" t="n">
        <v>1</v>
      </c>
      <c r="AK47" s="33"/>
      <c r="AL47" s="33"/>
      <c r="AM47" s="33"/>
      <c r="AN47" s="33"/>
      <c r="AO47" s="33"/>
      <c r="AP47" s="33"/>
      <c r="AQ47" s="35" t="s">
        <v>467</v>
      </c>
      <c r="AR47" s="33" t="s">
        <v>236</v>
      </c>
      <c r="AS47" s="36" t="n">
        <f aca="false">AVERAGE(AV47,BB47,BH47)</f>
        <v>56.7833333333333</v>
      </c>
      <c r="AT47" s="21" t="n">
        <f aca="false">(AS47*1.3)</f>
        <v>73.8183333333333</v>
      </c>
      <c r="AU47" s="48" t="s">
        <v>128</v>
      </c>
      <c r="AV47" s="36" t="n">
        <v>51.59</v>
      </c>
      <c r="AW47" s="38" t="s">
        <v>468</v>
      </c>
      <c r="AX47" s="49" t="s">
        <v>130</v>
      </c>
      <c r="AY47" s="33" t="s">
        <v>131</v>
      </c>
      <c r="AZ47" s="40" t="n">
        <v>44995</v>
      </c>
      <c r="BA47" s="44" t="s">
        <v>107</v>
      </c>
      <c r="BB47" s="36" t="n">
        <v>56.42</v>
      </c>
      <c r="BC47" s="32" t="s">
        <v>469</v>
      </c>
      <c r="BD47" s="49" t="s">
        <v>109</v>
      </c>
      <c r="BE47" s="33" t="s">
        <v>110</v>
      </c>
      <c r="BF47" s="40" t="n">
        <v>44995</v>
      </c>
      <c r="BG47" s="56" t="s">
        <v>361</v>
      </c>
      <c r="BH47" s="36" t="n">
        <v>62.34</v>
      </c>
      <c r="BI47" s="38" t="s">
        <v>470</v>
      </c>
      <c r="BJ47" s="49" t="s">
        <v>363</v>
      </c>
      <c r="BK47" s="33" t="s">
        <v>444</v>
      </c>
      <c r="BL47" s="40" t="n">
        <v>44995</v>
      </c>
    </row>
    <row r="48" customFormat="false" ht="417.75" hidden="false" customHeight="false" outlineLevel="0" collapsed="false">
      <c r="A48" s="12" t="s">
        <v>22</v>
      </c>
      <c r="B48" s="12" t="s">
        <v>471</v>
      </c>
      <c r="C48" s="13" t="s">
        <v>472</v>
      </c>
      <c r="D48" s="14" t="s">
        <v>65</v>
      </c>
      <c r="E48" s="14" t="s">
        <v>66</v>
      </c>
      <c r="F48" s="14" t="n">
        <v>15</v>
      </c>
      <c r="G48" s="14" t="n">
        <v>15</v>
      </c>
      <c r="H48" s="15" t="n">
        <v>173</v>
      </c>
      <c r="I48" s="15" t="n">
        <v>2595</v>
      </c>
      <c r="J48" s="23" t="s">
        <v>473</v>
      </c>
      <c r="K48" s="45" t="n">
        <v>47</v>
      </c>
      <c r="L48" s="17" t="s">
        <v>68</v>
      </c>
      <c r="M48" s="17" t="n">
        <v>21000000092</v>
      </c>
      <c r="N48" s="18" t="s">
        <v>474</v>
      </c>
      <c r="O48" s="17" t="s">
        <v>115</v>
      </c>
      <c r="P48" s="17" t="n">
        <f aca="false">SUM(R48:AP48)</f>
        <v>26</v>
      </c>
      <c r="Q48" s="17" t="s">
        <v>71</v>
      </c>
      <c r="R48" s="17"/>
      <c r="S48" s="17"/>
      <c r="T48" s="17"/>
      <c r="U48" s="17"/>
      <c r="V48" s="17"/>
      <c r="W48" s="17" t="n">
        <v>15</v>
      </c>
      <c r="X48" s="17"/>
      <c r="Y48" s="17"/>
      <c r="Z48" s="17"/>
      <c r="AA48" s="17"/>
      <c r="AB48" s="17"/>
      <c r="AC48" s="17"/>
      <c r="AD48" s="17"/>
      <c r="AE48" s="17" t="n">
        <v>10</v>
      </c>
      <c r="AF48" s="17"/>
      <c r="AG48" s="17"/>
      <c r="AH48" s="17"/>
      <c r="AI48" s="17"/>
      <c r="AJ48" s="17"/>
      <c r="AK48" s="17"/>
      <c r="AL48" s="17"/>
      <c r="AM48" s="17" t="n">
        <v>1</v>
      </c>
      <c r="AN48" s="17"/>
      <c r="AO48" s="17"/>
      <c r="AP48" s="17"/>
      <c r="AQ48" s="19" t="s">
        <v>474</v>
      </c>
      <c r="AR48" s="17" t="s">
        <v>236</v>
      </c>
      <c r="AS48" s="20" t="n">
        <f aca="false">AVERAGE(AV48,BB48,BH48)</f>
        <v>122.526666666667</v>
      </c>
      <c r="AT48" s="21" t="n">
        <f aca="false">(AS48*1.3)</f>
        <v>159.284666666667</v>
      </c>
      <c r="AU48" s="48" t="s">
        <v>128</v>
      </c>
      <c r="AV48" s="20" t="n">
        <v>130.31</v>
      </c>
      <c r="AW48" s="16" t="s">
        <v>475</v>
      </c>
      <c r="AX48" s="45" t="s">
        <v>411</v>
      </c>
      <c r="AY48" s="17" t="s">
        <v>253</v>
      </c>
      <c r="AZ48" s="25" t="n">
        <v>44995</v>
      </c>
      <c r="BA48" s="44" t="s">
        <v>107</v>
      </c>
      <c r="BB48" s="20" t="n">
        <v>120.61</v>
      </c>
      <c r="BC48" s="16" t="s">
        <v>476</v>
      </c>
      <c r="BD48" s="45" t="s">
        <v>109</v>
      </c>
      <c r="BE48" s="17" t="s">
        <v>110</v>
      </c>
      <c r="BF48" s="25" t="n">
        <v>44995</v>
      </c>
      <c r="BG48" s="11" t="s">
        <v>157</v>
      </c>
      <c r="BH48" s="20" t="n">
        <v>116.66</v>
      </c>
      <c r="BI48" s="16" t="s">
        <v>477</v>
      </c>
      <c r="BJ48" s="17" t="s">
        <v>159</v>
      </c>
      <c r="BK48" s="17" t="s">
        <v>76</v>
      </c>
      <c r="BL48" s="25" t="n">
        <v>44995</v>
      </c>
    </row>
    <row r="49" customFormat="false" ht="372.75" hidden="false" customHeight="false" outlineLevel="0" collapsed="false">
      <c r="A49" s="28" t="s">
        <v>22</v>
      </c>
      <c r="B49" s="28" t="s">
        <v>478</v>
      </c>
      <c r="C49" s="29" t="s">
        <v>479</v>
      </c>
      <c r="D49" s="30" t="s">
        <v>65</v>
      </c>
      <c r="E49" s="30" t="s">
        <v>66</v>
      </c>
      <c r="F49" s="30" t="n">
        <v>16</v>
      </c>
      <c r="G49" s="30" t="n">
        <v>16</v>
      </c>
      <c r="H49" s="31" t="n">
        <v>13</v>
      </c>
      <c r="I49" s="31" t="n">
        <v>208</v>
      </c>
      <c r="J49" s="38" t="s">
        <v>480</v>
      </c>
      <c r="K49" s="49" t="n">
        <v>48</v>
      </c>
      <c r="L49" s="33" t="s">
        <v>68</v>
      </c>
      <c r="M49" s="33" t="n">
        <v>21000000087</v>
      </c>
      <c r="N49" s="34" t="s">
        <v>481</v>
      </c>
      <c r="O49" s="33" t="s">
        <v>115</v>
      </c>
      <c r="P49" s="33" t="n">
        <f aca="false">SUM(R49:AP49)</f>
        <v>43</v>
      </c>
      <c r="Q49" s="33" t="s">
        <v>71</v>
      </c>
      <c r="R49" s="33"/>
      <c r="S49" s="33"/>
      <c r="T49" s="33"/>
      <c r="U49" s="33"/>
      <c r="V49" s="33"/>
      <c r="W49" s="33" t="n">
        <v>16</v>
      </c>
      <c r="X49" s="33"/>
      <c r="Y49" s="33" t="n">
        <v>10</v>
      </c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 t="n">
        <v>15</v>
      </c>
      <c r="AO49" s="33" t="n">
        <v>2</v>
      </c>
      <c r="AP49" s="33"/>
      <c r="AQ49" s="35" t="s">
        <v>481</v>
      </c>
      <c r="AR49" s="33" t="s">
        <v>236</v>
      </c>
      <c r="AS49" s="36" t="n">
        <f aca="false">AVERAGE(AV49,BB49,BH49)</f>
        <v>29.1466666666667</v>
      </c>
      <c r="AT49" s="21" t="n">
        <f aca="false">(AS49*1.3)</f>
        <v>37.8906666666667</v>
      </c>
      <c r="AU49" s="48" t="s">
        <v>104</v>
      </c>
      <c r="AV49" s="36" t="n">
        <v>27.19</v>
      </c>
      <c r="AW49" s="32" t="s">
        <v>482</v>
      </c>
      <c r="AX49" s="49" t="s">
        <v>420</v>
      </c>
      <c r="AY49" s="33" t="s">
        <v>253</v>
      </c>
      <c r="AZ49" s="40" t="n">
        <v>44995</v>
      </c>
      <c r="BA49" s="44" t="s">
        <v>128</v>
      </c>
      <c r="BB49" s="36" t="n">
        <v>23</v>
      </c>
      <c r="BC49" s="32" t="s">
        <v>483</v>
      </c>
      <c r="BD49" s="49" t="s">
        <v>130</v>
      </c>
      <c r="BE49" s="33" t="s">
        <v>131</v>
      </c>
      <c r="BF49" s="40" t="n">
        <v>44995</v>
      </c>
      <c r="BG49" s="56" t="s">
        <v>125</v>
      </c>
      <c r="BH49" s="36" t="n">
        <v>37.25</v>
      </c>
      <c r="BI49" s="32" t="s">
        <v>484</v>
      </c>
      <c r="BJ49" s="49" t="s">
        <v>127</v>
      </c>
      <c r="BK49" s="33" t="s">
        <v>444</v>
      </c>
      <c r="BL49" s="40" t="n">
        <v>44995</v>
      </c>
    </row>
    <row r="50" customFormat="false" ht="361.5" hidden="false" customHeight="false" outlineLevel="0" collapsed="false">
      <c r="A50" s="12" t="s">
        <v>22</v>
      </c>
      <c r="B50" s="12" t="s">
        <v>485</v>
      </c>
      <c r="C50" s="13" t="s">
        <v>486</v>
      </c>
      <c r="D50" s="14" t="s">
        <v>65</v>
      </c>
      <c r="E50" s="14" t="s">
        <v>66</v>
      </c>
      <c r="F50" s="14" t="n">
        <v>21</v>
      </c>
      <c r="G50" s="14" t="n">
        <v>21</v>
      </c>
      <c r="H50" s="15" t="n">
        <v>25</v>
      </c>
      <c r="I50" s="15" t="n">
        <v>525</v>
      </c>
      <c r="J50" s="23" t="s">
        <v>487</v>
      </c>
      <c r="K50" s="45" t="n">
        <v>49</v>
      </c>
      <c r="L50" s="17" t="s">
        <v>68</v>
      </c>
      <c r="M50" s="17" t="n">
        <v>21000000086</v>
      </c>
      <c r="N50" s="18" t="s">
        <v>488</v>
      </c>
      <c r="O50" s="17" t="s">
        <v>115</v>
      </c>
      <c r="P50" s="17" t="n">
        <f aca="false">SUM(R50:AP50)</f>
        <v>28</v>
      </c>
      <c r="Q50" s="17" t="s">
        <v>71</v>
      </c>
      <c r="R50" s="17"/>
      <c r="S50" s="17"/>
      <c r="T50" s="17"/>
      <c r="U50" s="17"/>
      <c r="V50" s="17"/>
      <c r="W50" s="17" t="n">
        <v>21</v>
      </c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 t="n">
        <v>2</v>
      </c>
      <c r="AN50" s="17"/>
      <c r="AO50" s="17"/>
      <c r="AP50" s="17" t="n">
        <v>5</v>
      </c>
      <c r="AQ50" s="19" t="s">
        <v>488</v>
      </c>
      <c r="AR50" s="17" t="s">
        <v>236</v>
      </c>
      <c r="AS50" s="20" t="n">
        <f aca="false">AVERAGE(AV50,BB50,BH50)</f>
        <v>70.68625</v>
      </c>
      <c r="AT50" s="21" t="n">
        <f aca="false">(AS50*1.3)</f>
        <v>91.892125</v>
      </c>
      <c r="AU50" s="48" t="s">
        <v>128</v>
      </c>
      <c r="AV50" s="20" t="n">
        <v>42.43</v>
      </c>
      <c r="AW50" s="23" t="s">
        <v>489</v>
      </c>
      <c r="AX50" s="45" t="s">
        <v>130</v>
      </c>
      <c r="AY50" s="17" t="s">
        <v>131</v>
      </c>
      <c r="AZ50" s="25" t="n">
        <v>44995</v>
      </c>
      <c r="BA50" s="44" t="s">
        <v>157</v>
      </c>
      <c r="BB50" s="20" t="n">
        <f aca="false">395.77/4</f>
        <v>98.9425</v>
      </c>
      <c r="BC50" s="23" t="s">
        <v>490</v>
      </c>
      <c r="BD50" s="45" t="s">
        <v>159</v>
      </c>
      <c r="BE50" s="17" t="s">
        <v>76</v>
      </c>
      <c r="BF50" s="25" t="n">
        <v>44995</v>
      </c>
      <c r="BG50" s="11"/>
      <c r="BH50" s="20"/>
      <c r="BI50" s="17"/>
      <c r="BJ50" s="17"/>
      <c r="BK50" s="17"/>
      <c r="BL50" s="17"/>
    </row>
    <row r="51" customFormat="false" ht="406.5" hidden="false" customHeight="false" outlineLevel="0" collapsed="false">
      <c r="A51" s="28" t="s">
        <v>22</v>
      </c>
      <c r="B51" s="28" t="s">
        <v>491</v>
      </c>
      <c r="C51" s="29" t="s">
        <v>492</v>
      </c>
      <c r="D51" s="30" t="s">
        <v>65</v>
      </c>
      <c r="E51" s="30" t="s">
        <v>66</v>
      </c>
      <c r="F51" s="30" t="n">
        <v>1</v>
      </c>
      <c r="G51" s="30" t="n">
        <v>1</v>
      </c>
      <c r="H51" s="31" t="n">
        <v>124.49</v>
      </c>
      <c r="I51" s="31" t="n">
        <v>124.49</v>
      </c>
      <c r="J51" s="38" t="s">
        <v>493</v>
      </c>
      <c r="K51" s="49" t="n">
        <v>50</v>
      </c>
      <c r="L51" s="33" t="s">
        <v>68</v>
      </c>
      <c r="M51" s="33" t="n">
        <v>21000000093</v>
      </c>
      <c r="N51" s="34" t="s">
        <v>494</v>
      </c>
      <c r="O51" s="33" t="s">
        <v>115</v>
      </c>
      <c r="P51" s="33" t="n">
        <f aca="false">SUM(R51:AP51)</f>
        <v>1</v>
      </c>
      <c r="Q51" s="33" t="s">
        <v>71</v>
      </c>
      <c r="R51" s="33"/>
      <c r="S51" s="33"/>
      <c r="T51" s="33"/>
      <c r="U51" s="33"/>
      <c r="V51" s="33"/>
      <c r="W51" s="33" t="n">
        <v>1</v>
      </c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0"/>
      <c r="AL51" s="33"/>
      <c r="AM51" s="33"/>
      <c r="AN51" s="33"/>
      <c r="AO51" s="33"/>
      <c r="AP51" s="33"/>
      <c r="AQ51" s="35" t="s">
        <v>494</v>
      </c>
      <c r="AR51" s="33" t="s">
        <v>155</v>
      </c>
      <c r="AS51" s="36" t="n">
        <f aca="false">AVERAGE(AV51,BB51,BH51)</f>
        <v>64.8866666666667</v>
      </c>
      <c r="AT51" s="21" t="n">
        <f aca="false">(AS51*1.3)</f>
        <v>84.3526666666667</v>
      </c>
      <c r="AU51" s="48" t="s">
        <v>128</v>
      </c>
      <c r="AV51" s="36" t="n">
        <v>57.52</v>
      </c>
      <c r="AW51" s="38" t="s">
        <v>495</v>
      </c>
      <c r="AX51" s="49" t="s">
        <v>130</v>
      </c>
      <c r="AY51" s="33" t="s">
        <v>131</v>
      </c>
      <c r="AZ51" s="40" t="n">
        <v>44995</v>
      </c>
      <c r="BA51" s="44" t="s">
        <v>107</v>
      </c>
      <c r="BB51" s="36" t="n">
        <v>77.63</v>
      </c>
      <c r="BC51" s="38" t="s">
        <v>496</v>
      </c>
      <c r="BD51" s="49" t="s">
        <v>109</v>
      </c>
      <c r="BE51" s="33" t="s">
        <v>110</v>
      </c>
      <c r="BF51" s="40" t="n">
        <v>44995</v>
      </c>
      <c r="BG51" s="56" t="s">
        <v>157</v>
      </c>
      <c r="BH51" s="36" t="n">
        <v>59.51</v>
      </c>
      <c r="BI51" s="38" t="s">
        <v>497</v>
      </c>
      <c r="BJ51" s="49" t="s">
        <v>159</v>
      </c>
      <c r="BK51" s="33" t="s">
        <v>76</v>
      </c>
      <c r="BL51" s="40" t="n">
        <v>44995</v>
      </c>
    </row>
    <row r="52" customFormat="false" ht="170.25" hidden="false" customHeight="false" outlineLevel="0" collapsed="false">
      <c r="A52" s="12" t="s">
        <v>22</v>
      </c>
      <c r="B52" s="12" t="s">
        <v>498</v>
      </c>
      <c r="C52" s="13" t="s">
        <v>499</v>
      </c>
      <c r="D52" s="14" t="s">
        <v>65</v>
      </c>
      <c r="E52" s="14" t="s">
        <v>66</v>
      </c>
      <c r="F52" s="14" t="n">
        <v>9</v>
      </c>
      <c r="G52" s="14" t="n">
        <v>9</v>
      </c>
      <c r="H52" s="15" t="n">
        <v>77.3</v>
      </c>
      <c r="I52" s="15" t="n">
        <v>695.7</v>
      </c>
      <c r="J52" s="16" t="s">
        <v>500</v>
      </c>
      <c r="K52" s="45" t="n">
        <v>51</v>
      </c>
      <c r="L52" s="17" t="s">
        <v>68</v>
      </c>
      <c r="M52" s="17" t="n">
        <v>21000000159</v>
      </c>
      <c r="N52" s="18" t="s">
        <v>501</v>
      </c>
      <c r="O52" s="17" t="s">
        <v>200</v>
      </c>
      <c r="P52" s="17" t="n">
        <f aca="false">SUM(R52:AP52)</f>
        <v>10</v>
      </c>
      <c r="Q52" s="17" t="s">
        <v>71</v>
      </c>
      <c r="R52" s="17"/>
      <c r="S52" s="17"/>
      <c r="T52" s="17"/>
      <c r="U52" s="17"/>
      <c r="V52" s="17"/>
      <c r="W52" s="17" t="n">
        <v>9</v>
      </c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4"/>
      <c r="AJ52" s="17"/>
      <c r="AK52" s="17" t="n">
        <v>1</v>
      </c>
      <c r="AL52" s="17"/>
      <c r="AM52" s="17"/>
      <c r="AN52" s="17"/>
      <c r="AO52" s="17"/>
      <c r="AP52" s="17"/>
      <c r="AQ52" s="19" t="s">
        <v>501</v>
      </c>
      <c r="AR52" s="17" t="s">
        <v>294</v>
      </c>
      <c r="AS52" s="20" t="n">
        <f aca="false">AVERAGE(AV52,BB52,BH52)</f>
        <v>82.7966666666667</v>
      </c>
      <c r="AT52" s="21" t="n">
        <f aca="false">(AS52*1.3)</f>
        <v>107.635666666667</v>
      </c>
      <c r="AU52" s="7" t="s">
        <v>91</v>
      </c>
      <c r="AV52" s="20" t="n">
        <v>75.6</v>
      </c>
      <c r="AW52" s="23" t="s">
        <v>502</v>
      </c>
      <c r="AX52" s="17" t="s">
        <v>503</v>
      </c>
      <c r="AY52" s="17" t="s">
        <v>94</v>
      </c>
      <c r="AZ52" s="25" t="n">
        <v>44995</v>
      </c>
      <c r="BA52" s="10" t="s">
        <v>128</v>
      </c>
      <c r="BB52" s="20" t="n">
        <v>89.01</v>
      </c>
      <c r="BC52" s="23" t="s">
        <v>504</v>
      </c>
      <c r="BD52" s="17" t="s">
        <v>130</v>
      </c>
      <c r="BE52" s="17" t="s">
        <v>253</v>
      </c>
      <c r="BF52" s="25" t="n">
        <v>44995</v>
      </c>
      <c r="BG52" s="11" t="s">
        <v>107</v>
      </c>
      <c r="BH52" s="20" t="n">
        <v>83.78</v>
      </c>
      <c r="BI52" s="23" t="s">
        <v>505</v>
      </c>
      <c r="BJ52" s="17" t="s">
        <v>506</v>
      </c>
      <c r="BK52" s="17" t="s">
        <v>110</v>
      </c>
      <c r="BL52" s="25" t="n">
        <v>44995</v>
      </c>
    </row>
    <row r="53" customFormat="false" ht="395.25" hidden="false" customHeight="false" outlineLevel="0" collapsed="false">
      <c r="A53" s="28" t="s">
        <v>34</v>
      </c>
      <c r="B53" s="28" t="s">
        <v>507</v>
      </c>
      <c r="C53" s="29" t="s">
        <v>508</v>
      </c>
      <c r="D53" s="30" t="s">
        <v>65</v>
      </c>
      <c r="E53" s="30" t="s">
        <v>66</v>
      </c>
      <c r="F53" s="30" t="n">
        <v>100</v>
      </c>
      <c r="G53" s="30" t="n">
        <v>100</v>
      </c>
      <c r="H53" s="31" t="n">
        <v>2</v>
      </c>
      <c r="I53" s="31" t="n">
        <v>200</v>
      </c>
      <c r="J53" s="38" t="s">
        <v>509</v>
      </c>
      <c r="K53" s="49" t="n">
        <v>52</v>
      </c>
      <c r="L53" s="33" t="s">
        <v>68</v>
      </c>
      <c r="M53" s="33" t="n">
        <v>21000000570</v>
      </c>
      <c r="N53" s="34" t="s">
        <v>510</v>
      </c>
      <c r="O53" s="33" t="s">
        <v>70</v>
      </c>
      <c r="P53" s="33" t="n">
        <f aca="false">SUM(R53:AP53)</f>
        <v>100</v>
      </c>
      <c r="Q53" s="33" t="s">
        <v>71</v>
      </c>
      <c r="R53" s="33"/>
      <c r="S53" s="33"/>
      <c r="T53" s="33"/>
      <c r="U53" s="33"/>
      <c r="V53" s="33"/>
      <c r="W53" s="33"/>
      <c r="X53" s="33"/>
      <c r="Y53" s="33"/>
      <c r="Z53" s="33"/>
      <c r="AA53" s="73"/>
      <c r="AB53" s="33"/>
      <c r="AC53" s="33"/>
      <c r="AD53" s="33"/>
      <c r="AE53" s="33"/>
      <c r="AF53" s="33"/>
      <c r="AG53" s="33"/>
      <c r="AH53" s="33"/>
      <c r="AI53" s="33" t="n">
        <v>100</v>
      </c>
      <c r="AJ53" s="33"/>
      <c r="AK53" s="33"/>
      <c r="AL53" s="33"/>
      <c r="AM53" s="33"/>
      <c r="AN53" s="33"/>
      <c r="AO53" s="33"/>
      <c r="AP53" s="33"/>
      <c r="AQ53" s="35" t="s">
        <v>510</v>
      </c>
      <c r="AR53" s="33" t="s">
        <v>294</v>
      </c>
      <c r="AS53" s="36" t="n">
        <f aca="false">AVERAGE(AV53,BB53,BH53)</f>
        <v>1.2706</v>
      </c>
      <c r="AT53" s="21" t="n">
        <f aca="false">(AS53*1.3)</f>
        <v>1.65178</v>
      </c>
      <c r="AU53" s="7" t="s">
        <v>128</v>
      </c>
      <c r="AV53" s="36" t="n">
        <f aca="false">127.06/100</f>
        <v>1.2706</v>
      </c>
      <c r="AW53" s="38" t="s">
        <v>511</v>
      </c>
      <c r="AX53" s="33" t="s">
        <v>512</v>
      </c>
      <c r="AY53" s="33" t="s">
        <v>131</v>
      </c>
      <c r="AZ53" s="40" t="n">
        <v>44995</v>
      </c>
      <c r="BA53" s="10"/>
      <c r="BB53" s="36"/>
      <c r="BC53" s="33"/>
      <c r="BD53" s="33"/>
      <c r="BE53" s="33"/>
      <c r="BF53" s="33"/>
      <c r="BG53" s="11"/>
      <c r="BH53" s="36"/>
      <c r="BI53" s="33"/>
      <c r="BJ53" s="33"/>
      <c r="BK53" s="33"/>
      <c r="BL53" s="33"/>
    </row>
    <row r="54" customFormat="false" ht="316.5" hidden="false" customHeight="false" outlineLevel="0" collapsed="false">
      <c r="A54" s="12" t="s">
        <v>22</v>
      </c>
      <c r="B54" s="12" t="s">
        <v>513</v>
      </c>
      <c r="C54" s="13" t="s">
        <v>514</v>
      </c>
      <c r="D54" s="14" t="s">
        <v>65</v>
      </c>
      <c r="E54" s="14" t="s">
        <v>66</v>
      </c>
      <c r="F54" s="14" t="n">
        <v>7000</v>
      </c>
      <c r="G54" s="14" t="n">
        <v>7000</v>
      </c>
      <c r="H54" s="15" t="n">
        <v>0.05</v>
      </c>
      <c r="I54" s="15" t="n">
        <v>350</v>
      </c>
      <c r="J54" s="23" t="s">
        <v>515</v>
      </c>
      <c r="K54" s="45" t="n">
        <v>53</v>
      </c>
      <c r="L54" s="17" t="s">
        <v>68</v>
      </c>
      <c r="M54" s="17" t="n">
        <v>21000000097</v>
      </c>
      <c r="N54" s="18" t="s">
        <v>516</v>
      </c>
      <c r="O54" s="17" t="s">
        <v>70</v>
      </c>
      <c r="P54" s="17" t="n">
        <f aca="false">SUM(R54:AP54)</f>
        <v>9500</v>
      </c>
      <c r="Q54" s="17" t="s">
        <v>71</v>
      </c>
      <c r="R54" s="17"/>
      <c r="S54" s="17"/>
      <c r="T54" s="17"/>
      <c r="U54" s="17"/>
      <c r="V54" s="17"/>
      <c r="W54" s="17" t="n">
        <v>7000</v>
      </c>
      <c r="X54" s="17" t="n">
        <v>2000</v>
      </c>
      <c r="Y54" s="17"/>
      <c r="Z54" s="17"/>
      <c r="AA54" s="17" t="n">
        <v>500</v>
      </c>
      <c r="AB54" s="17"/>
      <c r="AC54" s="17"/>
      <c r="AD54" s="17"/>
      <c r="AE54" s="17"/>
      <c r="AF54" s="17"/>
      <c r="AG54" s="17"/>
      <c r="AH54" s="17"/>
      <c r="AI54" s="14"/>
      <c r="AJ54" s="17"/>
      <c r="AK54" s="17"/>
      <c r="AL54" s="17"/>
      <c r="AM54" s="17"/>
      <c r="AN54" s="17"/>
      <c r="AO54" s="17"/>
      <c r="AP54" s="17"/>
      <c r="AQ54" s="19" t="s">
        <v>516</v>
      </c>
      <c r="AR54" s="17" t="s">
        <v>294</v>
      </c>
      <c r="AS54" s="20" t="n">
        <f aca="false">AVERAGE(AV54,BB54,BH54)</f>
        <v>0.15883</v>
      </c>
      <c r="AT54" s="21" t="n">
        <f aca="false">(AS54*1.3)</f>
        <v>0.206479</v>
      </c>
      <c r="AU54" s="7" t="s">
        <v>361</v>
      </c>
      <c r="AV54" s="20" t="n">
        <f aca="false">88.94/500</f>
        <v>0.17788</v>
      </c>
      <c r="AW54" s="23" t="s">
        <v>517</v>
      </c>
      <c r="AX54" s="17" t="s">
        <v>518</v>
      </c>
      <c r="AY54" s="17" t="s">
        <v>519</v>
      </c>
      <c r="AZ54" s="25" t="n">
        <v>44995</v>
      </c>
      <c r="BA54" s="10" t="s">
        <v>128</v>
      </c>
      <c r="BB54" s="20" t="n">
        <f aca="false">69.89/500</f>
        <v>0.13978</v>
      </c>
      <c r="BC54" s="23" t="s">
        <v>520</v>
      </c>
      <c r="BD54" s="17" t="s">
        <v>130</v>
      </c>
      <c r="BE54" s="17" t="s">
        <v>519</v>
      </c>
      <c r="BF54" s="25" t="n">
        <v>44995</v>
      </c>
      <c r="BG54" s="11"/>
      <c r="BH54" s="20"/>
      <c r="BI54" s="17"/>
      <c r="BJ54" s="17"/>
      <c r="BK54" s="25"/>
      <c r="BL54" s="25"/>
    </row>
    <row r="55" customFormat="false" ht="339" hidden="false" customHeight="false" outlineLevel="0" collapsed="false">
      <c r="A55" s="28" t="s">
        <v>34</v>
      </c>
      <c r="B55" s="28" t="s">
        <v>521</v>
      </c>
      <c r="C55" s="29" t="s">
        <v>522</v>
      </c>
      <c r="D55" s="30" t="s">
        <v>65</v>
      </c>
      <c r="E55" s="30" t="s">
        <v>66</v>
      </c>
      <c r="F55" s="30" t="n">
        <v>1</v>
      </c>
      <c r="G55" s="30" t="n">
        <v>1</v>
      </c>
      <c r="H55" s="31" t="n">
        <v>98</v>
      </c>
      <c r="I55" s="31" t="n">
        <v>98</v>
      </c>
      <c r="J55" s="38" t="s">
        <v>523</v>
      </c>
      <c r="K55" s="49" t="n">
        <v>54</v>
      </c>
      <c r="L55" s="33" t="s">
        <v>68</v>
      </c>
      <c r="M55" s="33" t="n">
        <v>21000000307</v>
      </c>
      <c r="N55" s="34" t="s">
        <v>524</v>
      </c>
      <c r="O55" s="33" t="s">
        <v>200</v>
      </c>
      <c r="P55" s="33" t="n">
        <f aca="false">SUM(R55:AP55)</f>
        <v>1</v>
      </c>
      <c r="Q55" s="33" t="s">
        <v>71</v>
      </c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 t="n">
        <v>1</v>
      </c>
      <c r="AJ55" s="33"/>
      <c r="AK55" s="33"/>
      <c r="AL55" s="33"/>
      <c r="AM55" s="33"/>
      <c r="AN55" s="33"/>
      <c r="AO55" s="33"/>
      <c r="AP55" s="33"/>
      <c r="AQ55" s="35" t="s">
        <v>524</v>
      </c>
      <c r="AR55" s="33" t="s">
        <v>294</v>
      </c>
      <c r="AS55" s="36" t="n">
        <f aca="false">AVERAGE(AV55,BB55,BH55)</f>
        <v>36.11</v>
      </c>
      <c r="AT55" s="21" t="n">
        <f aca="false">(AS55*1.3)</f>
        <v>46.943</v>
      </c>
      <c r="AU55" s="7" t="s">
        <v>107</v>
      </c>
      <c r="AV55" s="36" t="n">
        <v>36.11</v>
      </c>
      <c r="AW55" s="38" t="s">
        <v>525</v>
      </c>
      <c r="AX55" s="33" t="s">
        <v>506</v>
      </c>
      <c r="AY55" s="33" t="s">
        <v>110</v>
      </c>
      <c r="AZ55" s="40" t="n">
        <v>44995</v>
      </c>
      <c r="BA55" s="10"/>
      <c r="BB55" s="36"/>
      <c r="BC55" s="33"/>
      <c r="BD55" s="33"/>
      <c r="BE55" s="33"/>
      <c r="BF55" s="33"/>
      <c r="BG55" s="11"/>
      <c r="BH55" s="36"/>
      <c r="BI55" s="33"/>
      <c r="BJ55" s="33"/>
      <c r="BK55" s="33"/>
      <c r="BL55" s="33"/>
    </row>
    <row r="56" customFormat="false" ht="159" hidden="false" customHeight="false" outlineLevel="0" collapsed="false">
      <c r="A56" s="12" t="s">
        <v>25</v>
      </c>
      <c r="B56" s="12" t="s">
        <v>526</v>
      </c>
      <c r="C56" s="13" t="s">
        <v>527</v>
      </c>
      <c r="D56" s="14" t="s">
        <v>65</v>
      </c>
      <c r="E56" s="14" t="s">
        <v>66</v>
      </c>
      <c r="F56" s="14" t="n">
        <v>1</v>
      </c>
      <c r="G56" s="14" t="n">
        <v>1</v>
      </c>
      <c r="H56" s="15" t="n">
        <v>320</v>
      </c>
      <c r="I56" s="15" t="n">
        <v>320</v>
      </c>
      <c r="J56" s="16" t="s">
        <v>528</v>
      </c>
      <c r="K56" s="45" t="n">
        <v>55</v>
      </c>
      <c r="L56" s="17" t="s">
        <v>68</v>
      </c>
      <c r="M56" s="17" t="n">
        <v>21000000554</v>
      </c>
      <c r="N56" s="18" t="s">
        <v>529</v>
      </c>
      <c r="O56" s="17" t="s">
        <v>70</v>
      </c>
      <c r="P56" s="17" t="n">
        <f aca="false">SUM(R56:AP56)</f>
        <v>1</v>
      </c>
      <c r="Q56" s="17" t="s">
        <v>71</v>
      </c>
      <c r="R56" s="17"/>
      <c r="S56" s="17"/>
      <c r="T56" s="17"/>
      <c r="U56" s="17"/>
      <c r="V56" s="17"/>
      <c r="W56" s="17"/>
      <c r="X56" s="17"/>
      <c r="Y56" s="17"/>
      <c r="Z56" s="17" t="n">
        <v>1</v>
      </c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9" t="s">
        <v>529</v>
      </c>
      <c r="AR56" s="17" t="s">
        <v>294</v>
      </c>
      <c r="AS56" s="20" t="n">
        <f aca="false">AVERAGE(AV56,BB56,BH56)</f>
        <v>454</v>
      </c>
      <c r="AT56" s="21" t="n">
        <f aca="false">(AS56*1.3)</f>
        <v>590.2</v>
      </c>
      <c r="AU56" s="7" t="s">
        <v>260</v>
      </c>
      <c r="AV56" s="20" t="n">
        <v>454</v>
      </c>
      <c r="AW56" s="23" t="s">
        <v>530</v>
      </c>
      <c r="AX56" s="17" t="s">
        <v>262</v>
      </c>
      <c r="AY56" s="17" t="s">
        <v>531</v>
      </c>
      <c r="AZ56" s="25" t="n">
        <v>44995</v>
      </c>
      <c r="BA56" s="10"/>
      <c r="BB56" s="20"/>
      <c r="BC56" s="17"/>
      <c r="BD56" s="17"/>
      <c r="BE56" s="17"/>
      <c r="BF56" s="17"/>
      <c r="BG56" s="11"/>
      <c r="BH56" s="20"/>
      <c r="BI56" s="17"/>
      <c r="BJ56" s="17"/>
      <c r="BK56" s="17"/>
      <c r="BL56" s="17"/>
    </row>
    <row r="57" customFormat="false" ht="147.75" hidden="false" customHeight="false" outlineLevel="0" collapsed="false">
      <c r="A57" s="28" t="s">
        <v>36</v>
      </c>
      <c r="B57" s="28" t="s">
        <v>532</v>
      </c>
      <c r="C57" s="29" t="s">
        <v>533</v>
      </c>
      <c r="D57" s="30" t="s">
        <v>65</v>
      </c>
      <c r="E57" s="30" t="s">
        <v>66</v>
      </c>
      <c r="F57" s="30" t="n">
        <v>1</v>
      </c>
      <c r="G57" s="30" t="n">
        <v>1</v>
      </c>
      <c r="H57" s="31" t="n">
        <v>750.96</v>
      </c>
      <c r="I57" s="31" t="n">
        <v>750.96</v>
      </c>
      <c r="J57" s="32" t="s">
        <v>534</v>
      </c>
      <c r="K57" s="49" t="n">
        <v>56</v>
      </c>
      <c r="L57" s="33" t="s">
        <v>68</v>
      </c>
      <c r="M57" s="33" t="n">
        <v>21000000100</v>
      </c>
      <c r="N57" s="34" t="s">
        <v>535</v>
      </c>
      <c r="O57" s="33" t="s">
        <v>200</v>
      </c>
      <c r="P57" s="33" t="n">
        <f aca="false">SUM(R57:AP57)</f>
        <v>3</v>
      </c>
      <c r="Q57" s="33" t="s">
        <v>71</v>
      </c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0"/>
      <c r="AJ57" s="33"/>
      <c r="AK57" s="33" t="n">
        <v>3</v>
      </c>
      <c r="AL57" s="33"/>
      <c r="AM57" s="33"/>
      <c r="AN57" s="33"/>
      <c r="AO57" s="33"/>
      <c r="AP57" s="33"/>
      <c r="AQ57" s="35" t="s">
        <v>535</v>
      </c>
      <c r="AR57" s="33" t="s">
        <v>236</v>
      </c>
      <c r="AS57" s="36" t="n">
        <f aca="false">AVERAGE(AV57,BB57,BH57)</f>
        <v>518.631333333333</v>
      </c>
      <c r="AT57" s="21" t="n">
        <f aca="false">(AS57*1.3)</f>
        <v>674.220733333334</v>
      </c>
      <c r="AU57" s="7" t="s">
        <v>128</v>
      </c>
      <c r="AV57" s="36" t="n">
        <v>464.63</v>
      </c>
      <c r="AW57" s="32" t="s">
        <v>536</v>
      </c>
      <c r="AX57" s="33" t="s">
        <v>130</v>
      </c>
      <c r="AY57" s="33" t="s">
        <v>131</v>
      </c>
      <c r="AZ57" s="74" t="n">
        <v>44998</v>
      </c>
      <c r="BA57" s="10" t="s">
        <v>107</v>
      </c>
      <c r="BB57" s="36" t="n">
        <v>529.44</v>
      </c>
      <c r="BC57" s="38" t="s">
        <v>537</v>
      </c>
      <c r="BD57" s="33" t="s">
        <v>109</v>
      </c>
      <c r="BE57" s="33" t="s">
        <v>110</v>
      </c>
      <c r="BF57" s="74" t="n">
        <v>44998</v>
      </c>
      <c r="BG57" s="11" t="s">
        <v>157</v>
      </c>
      <c r="BH57" s="36" t="n">
        <f aca="false">(1404.56/25)*10</f>
        <v>561.824</v>
      </c>
      <c r="BI57" s="38" t="s">
        <v>538</v>
      </c>
      <c r="BJ57" s="33" t="s">
        <v>159</v>
      </c>
      <c r="BK57" s="33" t="s">
        <v>76</v>
      </c>
      <c r="BL57" s="74" t="n">
        <v>44998</v>
      </c>
    </row>
    <row r="58" customFormat="false" ht="125.25" hidden="false" customHeight="false" outlineLevel="0" collapsed="false">
      <c r="A58" s="12" t="s">
        <v>25</v>
      </c>
      <c r="B58" s="12" t="s">
        <v>539</v>
      </c>
      <c r="C58" s="13" t="s">
        <v>540</v>
      </c>
      <c r="D58" s="14" t="s">
        <v>65</v>
      </c>
      <c r="E58" s="14" t="s">
        <v>66</v>
      </c>
      <c r="F58" s="14" t="n">
        <v>1</v>
      </c>
      <c r="G58" s="14" t="n">
        <v>1</v>
      </c>
      <c r="H58" s="15" t="n">
        <v>750</v>
      </c>
      <c r="I58" s="15" t="n">
        <v>750</v>
      </c>
      <c r="J58" s="23" t="s">
        <v>541</v>
      </c>
      <c r="K58" s="45" t="n">
        <v>57</v>
      </c>
      <c r="L58" s="17" t="s">
        <v>68</v>
      </c>
      <c r="M58" s="17" t="n">
        <v>21000000128</v>
      </c>
      <c r="N58" s="18" t="s">
        <v>542</v>
      </c>
      <c r="O58" s="17" t="s">
        <v>200</v>
      </c>
      <c r="P58" s="17" t="n">
        <f aca="false">SUM(R58:AP58)</f>
        <v>1</v>
      </c>
      <c r="Q58" s="17" t="s">
        <v>71</v>
      </c>
      <c r="R58" s="17"/>
      <c r="S58" s="17"/>
      <c r="T58" s="17"/>
      <c r="U58" s="17"/>
      <c r="V58" s="17"/>
      <c r="W58" s="17"/>
      <c r="X58" s="17"/>
      <c r="Y58" s="17"/>
      <c r="Z58" s="17" t="n">
        <v>1</v>
      </c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9" t="s">
        <v>542</v>
      </c>
      <c r="AR58" s="17" t="s">
        <v>294</v>
      </c>
      <c r="AS58" s="20" t="n">
        <f aca="false">AVERAGE(AV58,BB58,BH58)</f>
        <v>767.466666666667</v>
      </c>
      <c r="AT58" s="21" t="n">
        <f aca="false">(AS58*1.3)</f>
        <v>997.706666666667</v>
      </c>
      <c r="AU58" s="7" t="s">
        <v>128</v>
      </c>
      <c r="AV58" s="20" t="n">
        <v>902.4</v>
      </c>
      <c r="AW58" s="23" t="s">
        <v>543</v>
      </c>
      <c r="AX58" s="17" t="s">
        <v>544</v>
      </c>
      <c r="AY58" s="17" t="s">
        <v>131</v>
      </c>
      <c r="AZ58" s="25" t="n">
        <v>44995</v>
      </c>
      <c r="BA58" s="10" t="s">
        <v>104</v>
      </c>
      <c r="BB58" s="20" t="n">
        <v>640</v>
      </c>
      <c r="BC58" s="23" t="s">
        <v>545</v>
      </c>
      <c r="BD58" s="17" t="s">
        <v>420</v>
      </c>
      <c r="BE58" s="17" t="s">
        <v>289</v>
      </c>
      <c r="BF58" s="25" t="n">
        <v>44995</v>
      </c>
      <c r="BG58" s="11" t="s">
        <v>132</v>
      </c>
      <c r="BH58" s="20" t="n">
        <v>760</v>
      </c>
      <c r="BI58" s="23" t="s">
        <v>546</v>
      </c>
      <c r="BJ58" s="17" t="s">
        <v>547</v>
      </c>
      <c r="BK58" s="17" t="s">
        <v>289</v>
      </c>
      <c r="BL58" s="25" t="n">
        <v>44995</v>
      </c>
    </row>
    <row r="59" customFormat="false" ht="372.75" hidden="false" customHeight="false" outlineLevel="0" collapsed="false">
      <c r="A59" s="28" t="s">
        <v>22</v>
      </c>
      <c r="B59" s="28" t="s">
        <v>548</v>
      </c>
      <c r="C59" s="29" t="s">
        <v>549</v>
      </c>
      <c r="D59" s="30" t="s">
        <v>65</v>
      </c>
      <c r="E59" s="30" t="s">
        <v>66</v>
      </c>
      <c r="F59" s="30" t="n">
        <v>50</v>
      </c>
      <c r="G59" s="30" t="n">
        <v>50</v>
      </c>
      <c r="H59" s="31" t="n">
        <v>2.17</v>
      </c>
      <c r="I59" s="31" t="n">
        <v>108.5</v>
      </c>
      <c r="J59" s="38" t="s">
        <v>550</v>
      </c>
      <c r="K59" s="49" t="n">
        <v>58</v>
      </c>
      <c r="L59" s="33" t="s">
        <v>68</v>
      </c>
      <c r="M59" s="33" t="n">
        <v>21000000102</v>
      </c>
      <c r="N59" s="34" t="s">
        <v>551</v>
      </c>
      <c r="O59" s="33" t="s">
        <v>70</v>
      </c>
      <c r="P59" s="33" t="n">
        <f aca="false">SUM(R59:AP59)</f>
        <v>150</v>
      </c>
      <c r="Q59" s="33" t="s">
        <v>71</v>
      </c>
      <c r="R59" s="33"/>
      <c r="S59" s="33"/>
      <c r="T59" s="33"/>
      <c r="U59" s="33"/>
      <c r="V59" s="33"/>
      <c r="W59" s="33" t="n">
        <v>50</v>
      </c>
      <c r="X59" s="33"/>
      <c r="Y59" s="33"/>
      <c r="Z59" s="33"/>
      <c r="AA59" s="33" t="n">
        <v>50</v>
      </c>
      <c r="AB59" s="33"/>
      <c r="AC59" s="33"/>
      <c r="AD59" s="33"/>
      <c r="AE59" s="33"/>
      <c r="AF59" s="33"/>
      <c r="AG59" s="30"/>
      <c r="AH59" s="33"/>
      <c r="AI59" s="33" t="n">
        <v>50</v>
      </c>
      <c r="AJ59" s="33"/>
      <c r="AK59" s="33"/>
      <c r="AL59" s="33"/>
      <c r="AM59" s="33"/>
      <c r="AN59" s="33"/>
      <c r="AO59" s="33"/>
      <c r="AP59" s="33"/>
      <c r="AQ59" s="34" t="s">
        <v>551</v>
      </c>
      <c r="AR59" s="33" t="s">
        <v>552</v>
      </c>
      <c r="AS59" s="36" t="n">
        <f aca="false">AVERAGE(AV59,BB59,BH59)</f>
        <v>2.38026666666667</v>
      </c>
      <c r="AT59" s="21" t="n">
        <f aca="false">(AS59*1.3)</f>
        <v>3.09434666666667</v>
      </c>
      <c r="AU59" s="7" t="s">
        <v>128</v>
      </c>
      <c r="AV59" s="36" t="n">
        <f aca="false">64.76/25</f>
        <v>2.5904</v>
      </c>
      <c r="AW59" s="38" t="s">
        <v>553</v>
      </c>
      <c r="AX59" s="33" t="s">
        <v>544</v>
      </c>
      <c r="AY59" s="33" t="s">
        <v>131</v>
      </c>
      <c r="AZ59" s="40" t="n">
        <v>44995</v>
      </c>
      <c r="BA59" s="10" t="s">
        <v>107</v>
      </c>
      <c r="BB59" s="36" t="n">
        <f aca="false">59.76/25</f>
        <v>2.3904</v>
      </c>
      <c r="BC59" s="38" t="s">
        <v>554</v>
      </c>
      <c r="BD59" s="33" t="s">
        <v>506</v>
      </c>
      <c r="BE59" s="33" t="s">
        <v>110</v>
      </c>
      <c r="BF59" s="40" t="n">
        <v>44995</v>
      </c>
      <c r="BG59" s="56" t="s">
        <v>555</v>
      </c>
      <c r="BH59" s="36" t="n">
        <f aca="false">54/25</f>
        <v>2.16</v>
      </c>
      <c r="BI59" s="38" t="s">
        <v>556</v>
      </c>
      <c r="BJ59" s="49" t="s">
        <v>503</v>
      </c>
      <c r="BK59" s="33" t="s">
        <v>135</v>
      </c>
      <c r="BL59" s="40" t="n">
        <v>44995</v>
      </c>
    </row>
    <row r="60" customFormat="false" ht="192.75" hidden="false" customHeight="false" outlineLevel="0" collapsed="false">
      <c r="A60" s="12" t="s">
        <v>22</v>
      </c>
      <c r="B60" s="12" t="s">
        <v>557</v>
      </c>
      <c r="C60" s="13" t="s">
        <v>558</v>
      </c>
      <c r="D60" s="14" t="s">
        <v>65</v>
      </c>
      <c r="E60" s="14" t="s">
        <v>66</v>
      </c>
      <c r="F60" s="14" t="n">
        <v>1</v>
      </c>
      <c r="G60" s="14" t="n">
        <v>1</v>
      </c>
      <c r="H60" s="15" t="n">
        <v>445</v>
      </c>
      <c r="I60" s="15" t="n">
        <v>445</v>
      </c>
      <c r="J60" s="16" t="s">
        <v>559</v>
      </c>
      <c r="K60" s="45" t="n">
        <v>59</v>
      </c>
      <c r="L60" s="17" t="s">
        <v>68</v>
      </c>
      <c r="M60" s="17" t="n">
        <v>21000000455</v>
      </c>
      <c r="N60" s="18" t="s">
        <v>560</v>
      </c>
      <c r="O60" s="17" t="s">
        <v>200</v>
      </c>
      <c r="P60" s="17" t="n">
        <f aca="false">SUM(R60:AP60)</f>
        <v>2</v>
      </c>
      <c r="Q60" s="17" t="s">
        <v>71</v>
      </c>
      <c r="R60" s="17"/>
      <c r="S60" s="17"/>
      <c r="T60" s="17"/>
      <c r="U60" s="17"/>
      <c r="V60" s="17"/>
      <c r="W60" s="17" t="n">
        <v>1</v>
      </c>
      <c r="X60" s="17"/>
      <c r="Y60" s="17"/>
      <c r="Z60" s="17" t="n">
        <v>1</v>
      </c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9" t="s">
        <v>560</v>
      </c>
      <c r="AR60" s="17" t="s">
        <v>561</v>
      </c>
      <c r="AS60" s="20" t="n">
        <f aca="false">AVERAGE(AV60,BB60,BH60)</f>
        <v>47.3066666666667</v>
      </c>
      <c r="AT60" s="21" t="n">
        <f aca="false">(AS60*1.3)</f>
        <v>61.4986666666667</v>
      </c>
      <c r="AU60" s="75" t="s">
        <v>104</v>
      </c>
      <c r="AV60" s="20" t="n">
        <v>40.37</v>
      </c>
      <c r="AW60" s="23" t="s">
        <v>562</v>
      </c>
      <c r="AX60" s="76" t="s">
        <v>563</v>
      </c>
      <c r="AY60" s="77" t="s">
        <v>564</v>
      </c>
      <c r="AZ60" s="78" t="n">
        <v>44998</v>
      </c>
      <c r="BA60" s="44" t="s">
        <v>128</v>
      </c>
      <c r="BB60" s="79" t="n">
        <v>56.55</v>
      </c>
      <c r="BC60" s="16" t="s">
        <v>565</v>
      </c>
      <c r="BD60" s="45" t="s">
        <v>130</v>
      </c>
      <c r="BE60" s="18" t="s">
        <v>131</v>
      </c>
      <c r="BF60" s="78" t="n">
        <v>44998</v>
      </c>
      <c r="BG60" s="11" t="s">
        <v>566</v>
      </c>
      <c r="BH60" s="79" t="n">
        <v>45</v>
      </c>
      <c r="BI60" s="16" t="s">
        <v>567</v>
      </c>
      <c r="BJ60" s="18" t="s">
        <v>568</v>
      </c>
      <c r="BK60" s="18" t="s">
        <v>135</v>
      </c>
      <c r="BL60" s="78" t="n">
        <v>44998</v>
      </c>
    </row>
    <row r="61" customFormat="false" ht="159" hidden="false" customHeight="false" outlineLevel="0" collapsed="false">
      <c r="A61" s="28" t="s">
        <v>22</v>
      </c>
      <c r="B61" s="28" t="s">
        <v>569</v>
      </c>
      <c r="C61" s="29" t="s">
        <v>570</v>
      </c>
      <c r="D61" s="30" t="s">
        <v>65</v>
      </c>
      <c r="E61" s="30" t="s">
        <v>66</v>
      </c>
      <c r="F61" s="30" t="n">
        <v>12</v>
      </c>
      <c r="G61" s="30" t="n">
        <v>12</v>
      </c>
      <c r="H61" s="31" t="n">
        <v>15</v>
      </c>
      <c r="I61" s="31" t="n">
        <v>180</v>
      </c>
      <c r="J61" s="38" t="s">
        <v>571</v>
      </c>
      <c r="K61" s="49" t="n">
        <v>60</v>
      </c>
      <c r="L61" s="33" t="s">
        <v>68</v>
      </c>
      <c r="M61" s="33" t="n">
        <v>21000000104</v>
      </c>
      <c r="N61" s="34" t="s">
        <v>572</v>
      </c>
      <c r="O61" s="33" t="s">
        <v>200</v>
      </c>
      <c r="P61" s="33" t="n">
        <f aca="false">SUM(R61:AP61)</f>
        <v>13</v>
      </c>
      <c r="Q61" s="33" t="s">
        <v>71</v>
      </c>
      <c r="R61" s="33"/>
      <c r="S61" s="33"/>
      <c r="T61" s="33"/>
      <c r="U61" s="33"/>
      <c r="V61" s="33"/>
      <c r="W61" s="33" t="n">
        <v>12</v>
      </c>
      <c r="X61" s="33"/>
      <c r="Y61" s="33"/>
      <c r="Z61" s="33"/>
      <c r="AA61" s="33"/>
      <c r="AB61" s="33"/>
      <c r="AC61" s="33"/>
      <c r="AD61" s="33"/>
      <c r="AE61" s="33"/>
      <c r="AF61" s="33"/>
      <c r="AG61" s="33" t="n">
        <v>1</v>
      </c>
      <c r="AH61" s="33"/>
      <c r="AI61" s="33"/>
      <c r="AJ61" s="33"/>
      <c r="AK61" s="33"/>
      <c r="AL61" s="33"/>
      <c r="AM61" s="33"/>
      <c r="AN61" s="33"/>
      <c r="AO61" s="33"/>
      <c r="AP61" s="33"/>
      <c r="AQ61" s="35" t="s">
        <v>572</v>
      </c>
      <c r="AR61" s="33"/>
      <c r="AS61" s="36" t="e">
        <f aca="false">AVERAGE(AV61,BB61,BH61)</f>
        <v>#DIV/0!</v>
      </c>
      <c r="AT61" s="47" t="e">
        <f aca="false">(AS61*1.3)</f>
        <v>#DIV/0!</v>
      </c>
      <c r="AU61" s="7"/>
      <c r="AV61" s="36"/>
      <c r="AW61" s="33"/>
      <c r="AX61" s="33"/>
      <c r="AY61" s="33"/>
      <c r="AZ61" s="33"/>
      <c r="BA61" s="10"/>
      <c r="BB61" s="36"/>
      <c r="BC61" s="33"/>
      <c r="BD61" s="33"/>
      <c r="BE61" s="33"/>
      <c r="BF61" s="33"/>
      <c r="BG61" s="11"/>
      <c r="BH61" s="36"/>
      <c r="BI61" s="33"/>
      <c r="BJ61" s="33"/>
      <c r="BK61" s="33"/>
      <c r="BL61" s="33"/>
    </row>
    <row r="62" customFormat="false" ht="417.75" hidden="false" customHeight="false" outlineLevel="0" collapsed="false">
      <c r="A62" s="12" t="s">
        <v>22</v>
      </c>
      <c r="B62" s="12" t="s">
        <v>573</v>
      </c>
      <c r="C62" s="13" t="s">
        <v>574</v>
      </c>
      <c r="D62" s="14" t="s">
        <v>65</v>
      </c>
      <c r="E62" s="14" t="s">
        <v>66</v>
      </c>
      <c r="F62" s="14" t="n">
        <v>552</v>
      </c>
      <c r="G62" s="14" t="n">
        <v>552</v>
      </c>
      <c r="H62" s="15" t="n">
        <v>10</v>
      </c>
      <c r="I62" s="15" t="n">
        <v>5520</v>
      </c>
      <c r="J62" s="16" t="s">
        <v>575</v>
      </c>
      <c r="K62" s="45" t="n">
        <v>61</v>
      </c>
      <c r="L62" s="17" t="s">
        <v>68</v>
      </c>
      <c r="M62" s="17" t="n">
        <v>21000000123</v>
      </c>
      <c r="N62" s="18" t="s">
        <v>576</v>
      </c>
      <c r="O62" s="17" t="s">
        <v>70</v>
      </c>
      <c r="P62" s="17" t="n">
        <f aca="false">SUM(R62:AP62)</f>
        <v>500</v>
      </c>
      <c r="Q62" s="17" t="s">
        <v>71</v>
      </c>
      <c r="R62" s="17"/>
      <c r="S62" s="17"/>
      <c r="T62" s="17"/>
      <c r="U62" s="17"/>
      <c r="V62" s="17"/>
      <c r="W62" s="17" t="n">
        <v>500</v>
      </c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9" t="s">
        <v>576</v>
      </c>
      <c r="AR62" s="17" t="s">
        <v>236</v>
      </c>
      <c r="AS62" s="20" t="n">
        <f aca="false">AVERAGE(AV62,BB62,BH62)</f>
        <v>0.0325266666666667</v>
      </c>
      <c r="AT62" s="21" t="n">
        <f aca="false">(AS62*1.3)</f>
        <v>0.0422846666666667</v>
      </c>
      <c r="AU62" s="48" t="s">
        <v>107</v>
      </c>
      <c r="AV62" s="20" t="n">
        <f aca="false">16.38 /500</f>
        <v>0.03276</v>
      </c>
      <c r="AW62" s="23" t="s">
        <v>577</v>
      </c>
      <c r="AX62" s="45" t="s">
        <v>109</v>
      </c>
      <c r="AY62" s="17" t="s">
        <v>110</v>
      </c>
      <c r="AZ62" s="80" t="n">
        <v>44995</v>
      </c>
      <c r="BA62" s="44" t="s">
        <v>104</v>
      </c>
      <c r="BB62" s="20" t="n">
        <f aca="false">17.28/500</f>
        <v>0.03456</v>
      </c>
      <c r="BC62" s="16" t="s">
        <v>578</v>
      </c>
      <c r="BD62" s="45" t="s">
        <v>420</v>
      </c>
      <c r="BE62" s="45" t="s">
        <v>110</v>
      </c>
      <c r="BF62" s="80" t="n">
        <v>44995</v>
      </c>
      <c r="BG62" s="56" t="s">
        <v>128</v>
      </c>
      <c r="BH62" s="20" t="n">
        <f aca="false">15.13 /500</f>
        <v>0.03026</v>
      </c>
      <c r="BI62" s="23" t="s">
        <v>579</v>
      </c>
      <c r="BJ62" s="45" t="s">
        <v>130</v>
      </c>
      <c r="BK62" s="17" t="s">
        <v>131</v>
      </c>
      <c r="BL62" s="80" t="n">
        <v>44995</v>
      </c>
    </row>
    <row r="63" customFormat="false" ht="440.25" hidden="false" customHeight="false" outlineLevel="0" collapsed="false">
      <c r="A63" s="28" t="s">
        <v>22</v>
      </c>
      <c r="B63" s="28" t="s">
        <v>580</v>
      </c>
      <c r="C63" s="29" t="s">
        <v>581</v>
      </c>
      <c r="D63" s="30" t="s">
        <v>65</v>
      </c>
      <c r="E63" s="30" t="s">
        <v>66</v>
      </c>
      <c r="F63" s="30" t="n">
        <v>1504</v>
      </c>
      <c r="G63" s="30" t="n">
        <v>1504</v>
      </c>
      <c r="H63" s="31" t="n">
        <v>0.07</v>
      </c>
      <c r="I63" s="31" t="n">
        <v>105.28</v>
      </c>
      <c r="J63" s="38" t="s">
        <v>582</v>
      </c>
      <c r="K63" s="49" t="n">
        <v>62</v>
      </c>
      <c r="L63" s="33" t="s">
        <v>68</v>
      </c>
      <c r="M63" s="33" t="n">
        <v>21000000124</v>
      </c>
      <c r="N63" s="34" t="s">
        <v>583</v>
      </c>
      <c r="O63" s="33" t="s">
        <v>70</v>
      </c>
      <c r="P63" s="33" t="n">
        <f aca="false">SUM(R63:AP63)</f>
        <v>1500</v>
      </c>
      <c r="Q63" s="33" t="s">
        <v>71</v>
      </c>
      <c r="R63" s="33"/>
      <c r="S63" s="33"/>
      <c r="T63" s="33"/>
      <c r="U63" s="33"/>
      <c r="V63" s="33"/>
      <c r="W63" s="33" t="n">
        <v>1500</v>
      </c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5" t="s">
        <v>583</v>
      </c>
      <c r="AR63" s="33" t="s">
        <v>236</v>
      </c>
      <c r="AS63" s="36" t="n">
        <f aca="false">AVERAGE(AV63,BB63,BH63)</f>
        <v>0.17764</v>
      </c>
      <c r="AT63" s="21" t="n">
        <f aca="false">(AS63*1.3)</f>
        <v>0.230932</v>
      </c>
      <c r="AU63" s="48" t="s">
        <v>107</v>
      </c>
      <c r="AV63" s="36" t="n">
        <f aca="false">93.54 /500</f>
        <v>0.18708</v>
      </c>
      <c r="AW63" s="38" t="s">
        <v>584</v>
      </c>
      <c r="AX63" s="49" t="s">
        <v>109</v>
      </c>
      <c r="AY63" s="33" t="s">
        <v>110</v>
      </c>
      <c r="AZ63" s="74" t="n">
        <v>44995</v>
      </c>
      <c r="BA63" s="44" t="s">
        <v>128</v>
      </c>
      <c r="BB63" s="36" t="n">
        <f aca="false">87.92 /500</f>
        <v>0.17584</v>
      </c>
      <c r="BC63" s="32" t="s">
        <v>585</v>
      </c>
      <c r="BD63" s="49" t="s">
        <v>130</v>
      </c>
      <c r="BE63" s="33" t="s">
        <v>131</v>
      </c>
      <c r="BF63" s="74" t="n">
        <v>44995</v>
      </c>
      <c r="BG63" s="56" t="s">
        <v>175</v>
      </c>
      <c r="BH63" s="36" t="n">
        <f aca="false">85/500</f>
        <v>0.17</v>
      </c>
      <c r="BI63" s="38" t="s">
        <v>586</v>
      </c>
      <c r="BJ63" s="49" t="s">
        <v>587</v>
      </c>
      <c r="BK63" s="33" t="s">
        <v>289</v>
      </c>
      <c r="BL63" s="74" t="n">
        <v>44995</v>
      </c>
    </row>
    <row r="64" customFormat="false" ht="406.5" hidden="false" customHeight="false" outlineLevel="0" collapsed="false">
      <c r="A64" s="12" t="s">
        <v>22</v>
      </c>
      <c r="B64" s="12" t="s">
        <v>588</v>
      </c>
      <c r="C64" s="13" t="s">
        <v>589</v>
      </c>
      <c r="D64" s="14" t="s">
        <v>65</v>
      </c>
      <c r="E64" s="14" t="s">
        <v>66</v>
      </c>
      <c r="F64" s="14" t="n">
        <v>1</v>
      </c>
      <c r="G64" s="14" t="n">
        <v>100</v>
      </c>
      <c r="H64" s="15" t="n">
        <v>576.05</v>
      </c>
      <c r="I64" s="15" t="n">
        <v>576.05</v>
      </c>
      <c r="J64" s="16" t="s">
        <v>590</v>
      </c>
      <c r="K64" s="45" t="n">
        <v>63</v>
      </c>
      <c r="L64" s="17" t="s">
        <v>591</v>
      </c>
      <c r="M64" s="17" t="n">
        <v>21000000549</v>
      </c>
      <c r="N64" s="18" t="s">
        <v>592</v>
      </c>
      <c r="O64" s="17" t="s">
        <v>70</v>
      </c>
      <c r="P64" s="17" t="n">
        <f aca="false">SUM(R64:AP64)</f>
        <v>100</v>
      </c>
      <c r="Q64" s="17" t="s">
        <v>71</v>
      </c>
      <c r="R64" s="17"/>
      <c r="S64" s="17"/>
      <c r="T64" s="17"/>
      <c r="U64" s="17"/>
      <c r="V64" s="17"/>
      <c r="W64" s="17" t="n">
        <v>100</v>
      </c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4"/>
      <c r="AP64" s="17"/>
      <c r="AQ64" s="19" t="s">
        <v>592</v>
      </c>
      <c r="AR64" s="17"/>
      <c r="AS64" s="20" t="e">
        <f aca="false">AVERAGE(AV64,BB64,BH64)</f>
        <v>#DIV/0!</v>
      </c>
      <c r="AT64" s="47" t="e">
        <f aca="false">(AS64*1.3)</f>
        <v>#DIV/0!</v>
      </c>
      <c r="AU64" s="7"/>
      <c r="AV64" s="20"/>
      <c r="AW64" s="17"/>
      <c r="AX64" s="17"/>
      <c r="AY64" s="17"/>
      <c r="AZ64" s="17"/>
      <c r="BA64" s="10"/>
      <c r="BB64" s="20"/>
      <c r="BC64" s="17"/>
      <c r="BD64" s="17"/>
      <c r="BE64" s="17"/>
      <c r="BF64" s="17"/>
      <c r="BG64" s="11"/>
      <c r="BH64" s="20"/>
      <c r="BI64" s="17"/>
      <c r="BJ64" s="17"/>
      <c r="BK64" s="17"/>
      <c r="BL64" s="17"/>
    </row>
    <row r="65" customFormat="false" ht="204" hidden="false" customHeight="false" outlineLevel="0" collapsed="false">
      <c r="A65" s="28" t="s">
        <v>25</v>
      </c>
      <c r="B65" s="28" t="s">
        <v>593</v>
      </c>
      <c r="C65" s="29" t="s">
        <v>594</v>
      </c>
      <c r="D65" s="30" t="s">
        <v>65</v>
      </c>
      <c r="E65" s="30" t="s">
        <v>66</v>
      </c>
      <c r="F65" s="30" t="n">
        <v>5</v>
      </c>
      <c r="G65" s="30" t="n">
        <v>5</v>
      </c>
      <c r="H65" s="31" t="n">
        <v>80</v>
      </c>
      <c r="I65" s="31" t="n">
        <v>400</v>
      </c>
      <c r="J65" s="38" t="s">
        <v>595</v>
      </c>
      <c r="K65" s="49" t="n">
        <v>64</v>
      </c>
      <c r="L65" s="33" t="s">
        <v>68</v>
      </c>
      <c r="M65" s="33" t="n">
        <v>21000000555</v>
      </c>
      <c r="N65" s="34" t="s">
        <v>596</v>
      </c>
      <c r="O65" s="33" t="s">
        <v>70</v>
      </c>
      <c r="P65" s="33" t="n">
        <f aca="false">SUM(R65:AP65)</f>
        <v>5</v>
      </c>
      <c r="Q65" s="33" t="s">
        <v>71</v>
      </c>
      <c r="R65" s="33"/>
      <c r="S65" s="33"/>
      <c r="T65" s="33"/>
      <c r="U65" s="33"/>
      <c r="V65" s="33"/>
      <c r="W65" s="33"/>
      <c r="X65" s="33"/>
      <c r="Y65" s="33"/>
      <c r="Z65" s="33" t="n">
        <v>5</v>
      </c>
      <c r="AA65" s="33"/>
      <c r="AB65" s="33"/>
      <c r="AC65" s="33"/>
      <c r="AD65" s="33"/>
      <c r="AE65" s="33"/>
      <c r="AF65" s="33"/>
      <c r="AG65" s="33"/>
      <c r="AH65" s="33"/>
      <c r="AI65" s="30"/>
      <c r="AJ65" s="33"/>
      <c r="AK65" s="33"/>
      <c r="AL65" s="33"/>
      <c r="AM65" s="33"/>
      <c r="AN65" s="33"/>
      <c r="AO65" s="33"/>
      <c r="AP65" s="33"/>
      <c r="AQ65" s="35" t="s">
        <v>596</v>
      </c>
      <c r="AR65" s="33" t="s">
        <v>230</v>
      </c>
      <c r="AS65" s="36" t="n">
        <f aca="false">AVERAGE(AV65,BB65,BH65)</f>
        <v>103.26</v>
      </c>
      <c r="AT65" s="21" t="n">
        <f aca="false">(AS65*1.3)</f>
        <v>134.238</v>
      </c>
      <c r="AU65" s="48" t="s">
        <v>128</v>
      </c>
      <c r="AV65" s="36" t="n">
        <v>103.26</v>
      </c>
      <c r="AW65" s="32" t="s">
        <v>597</v>
      </c>
      <c r="AX65" s="49" t="s">
        <v>130</v>
      </c>
      <c r="AY65" s="33" t="s">
        <v>131</v>
      </c>
      <c r="AZ65" s="67" t="n">
        <v>45005</v>
      </c>
      <c r="BA65" s="10"/>
      <c r="BB65" s="36"/>
      <c r="BC65" s="33"/>
      <c r="BD65" s="33"/>
      <c r="BE65" s="33"/>
      <c r="BF65" s="33"/>
      <c r="BG65" s="11"/>
      <c r="BH65" s="36"/>
      <c r="BI65" s="33"/>
      <c r="BJ65" s="33"/>
      <c r="BK65" s="33"/>
      <c r="BL65" s="33"/>
    </row>
    <row r="66" customFormat="false" ht="406.5" hidden="false" customHeight="false" outlineLevel="0" collapsed="false">
      <c r="A66" s="12" t="s">
        <v>41</v>
      </c>
      <c r="B66" s="12" t="s">
        <v>598</v>
      </c>
      <c r="C66" s="13" t="n">
        <v>382201</v>
      </c>
      <c r="D66" s="14" t="s">
        <v>65</v>
      </c>
      <c r="E66" s="14" t="s">
        <v>66</v>
      </c>
      <c r="F66" s="14" t="n">
        <v>8</v>
      </c>
      <c r="G66" s="14" t="n">
        <v>800</v>
      </c>
      <c r="H66" s="15" t="n">
        <v>90</v>
      </c>
      <c r="I66" s="15" t="n">
        <v>720</v>
      </c>
      <c r="J66" s="16" t="s">
        <v>599</v>
      </c>
      <c r="K66" s="45" t="n">
        <v>65</v>
      </c>
      <c r="L66" s="17" t="s">
        <v>68</v>
      </c>
      <c r="M66" s="17" t="n">
        <v>21000000215</v>
      </c>
      <c r="N66" s="18" t="s">
        <v>600</v>
      </c>
      <c r="O66" s="17" t="s">
        <v>70</v>
      </c>
      <c r="P66" s="17" t="n">
        <f aca="false">SUM(R66:AP66)</f>
        <v>3300</v>
      </c>
      <c r="Q66" s="17" t="s">
        <v>71</v>
      </c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4"/>
      <c r="AO66" s="17" t="n">
        <v>2500</v>
      </c>
      <c r="AP66" s="17" t="n">
        <v>800</v>
      </c>
      <c r="AQ66" s="19" t="s">
        <v>600</v>
      </c>
      <c r="AR66" s="17" t="s">
        <v>155</v>
      </c>
      <c r="AS66" s="20" t="n">
        <f aca="false">AVERAGE(AV66,BB66,BH66)</f>
        <v>0.57559</v>
      </c>
      <c r="AT66" s="21" t="n">
        <f aca="false">(AS66*1.3)</f>
        <v>0.748267</v>
      </c>
      <c r="AU66" s="48" t="s">
        <v>128</v>
      </c>
      <c r="AV66" s="20" t="n">
        <f aca="false">60.04/100</f>
        <v>0.6004</v>
      </c>
      <c r="AW66" s="16" t="s">
        <v>601</v>
      </c>
      <c r="AX66" s="45" t="s">
        <v>130</v>
      </c>
      <c r="AY66" s="17" t="s">
        <v>131</v>
      </c>
      <c r="AZ66" s="80" t="n">
        <v>44995</v>
      </c>
      <c r="BA66" s="44" t="s">
        <v>104</v>
      </c>
      <c r="BB66" s="20" t="n">
        <f aca="false">275.39/500</f>
        <v>0.55078</v>
      </c>
      <c r="BC66" s="16" t="s">
        <v>602</v>
      </c>
      <c r="BD66" s="81" t="s">
        <v>420</v>
      </c>
      <c r="BE66" s="17" t="s">
        <v>519</v>
      </c>
      <c r="BF66" s="80" t="n">
        <v>44995</v>
      </c>
      <c r="BG66" s="11"/>
      <c r="BH66" s="20"/>
      <c r="BI66" s="17"/>
      <c r="BJ66" s="17"/>
      <c r="BK66" s="17"/>
      <c r="BL66" s="17"/>
    </row>
    <row r="67" customFormat="false" ht="406.5" hidden="false" customHeight="false" outlineLevel="0" collapsed="false">
      <c r="A67" s="28" t="s">
        <v>26</v>
      </c>
      <c r="B67" s="28" t="s">
        <v>603</v>
      </c>
      <c r="C67" s="29" t="s">
        <v>604</v>
      </c>
      <c r="D67" s="30" t="s">
        <v>65</v>
      </c>
      <c r="E67" s="30" t="s">
        <v>66</v>
      </c>
      <c r="F67" s="30" t="n">
        <v>1</v>
      </c>
      <c r="G67" s="30" t="n">
        <v>250</v>
      </c>
      <c r="H67" s="31" t="n">
        <v>30</v>
      </c>
      <c r="I67" s="31" t="n">
        <v>30</v>
      </c>
      <c r="J67" s="38" t="s">
        <v>605</v>
      </c>
      <c r="K67" s="49" t="n">
        <v>66</v>
      </c>
      <c r="L67" s="33" t="s">
        <v>68</v>
      </c>
      <c r="M67" s="33" t="n">
        <v>21000000214</v>
      </c>
      <c r="N67" s="34" t="s">
        <v>606</v>
      </c>
      <c r="O67" s="33" t="s">
        <v>70</v>
      </c>
      <c r="P67" s="33" t="n">
        <f aca="false">SUM(R67:AP67)</f>
        <v>500</v>
      </c>
      <c r="Q67" s="33" t="s">
        <v>71</v>
      </c>
      <c r="R67" s="33"/>
      <c r="S67" s="33"/>
      <c r="T67" s="33"/>
      <c r="U67" s="33"/>
      <c r="V67" s="33"/>
      <c r="W67" s="33"/>
      <c r="X67" s="33"/>
      <c r="Y67" s="33"/>
      <c r="Z67" s="33"/>
      <c r="AA67" s="33" t="n">
        <v>250</v>
      </c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 t="n">
        <v>250</v>
      </c>
      <c r="AN67" s="30"/>
      <c r="AO67" s="33"/>
      <c r="AP67" s="33"/>
      <c r="AQ67" s="35" t="s">
        <v>606</v>
      </c>
      <c r="AR67" s="33" t="s">
        <v>236</v>
      </c>
      <c r="AS67" s="36" t="n">
        <f aca="false">AVERAGE(AV67,BB67,BH67)</f>
        <v>0.292073333333333</v>
      </c>
      <c r="AT67" s="21" t="n">
        <f aca="false">(AS67*1.3)</f>
        <v>0.379695333333333</v>
      </c>
      <c r="AU67" s="48" t="s">
        <v>128</v>
      </c>
      <c r="AV67" s="36" t="n">
        <f aca="false">87.71/250</f>
        <v>0.35084</v>
      </c>
      <c r="AW67" s="38" t="s">
        <v>607</v>
      </c>
      <c r="AX67" s="49" t="s">
        <v>130</v>
      </c>
      <c r="AY67" s="33" t="s">
        <v>131</v>
      </c>
      <c r="AZ67" s="74" t="n">
        <v>44995</v>
      </c>
      <c r="BA67" s="44" t="s">
        <v>107</v>
      </c>
      <c r="BB67" s="36" t="n">
        <f aca="false">181.26/500</f>
        <v>0.36252</v>
      </c>
      <c r="BC67" s="38" t="s">
        <v>608</v>
      </c>
      <c r="BD67" s="49" t="s">
        <v>109</v>
      </c>
      <c r="BE67" s="33" t="s">
        <v>519</v>
      </c>
      <c r="BF67" s="74" t="n">
        <v>44995</v>
      </c>
      <c r="BG67" s="56" t="s">
        <v>87</v>
      </c>
      <c r="BH67" s="36" t="n">
        <f aca="false">81.43/500</f>
        <v>0.16286</v>
      </c>
      <c r="BI67" s="38" t="s">
        <v>609</v>
      </c>
      <c r="BJ67" s="49" t="s">
        <v>610</v>
      </c>
      <c r="BK67" s="33" t="s">
        <v>255</v>
      </c>
      <c r="BL67" s="74" t="n">
        <v>44995</v>
      </c>
    </row>
    <row r="68" customFormat="false" ht="180" hidden="false" customHeight="false" outlineLevel="0" collapsed="false">
      <c r="A68" s="12" t="s">
        <v>39</v>
      </c>
      <c r="B68" s="62" t="s">
        <v>611</v>
      </c>
      <c r="C68" s="13" t="s">
        <v>612</v>
      </c>
      <c r="D68" s="14" t="s">
        <v>65</v>
      </c>
      <c r="E68" s="14" t="s">
        <v>66</v>
      </c>
      <c r="F68" s="14" t="n">
        <v>1</v>
      </c>
      <c r="G68" s="14" t="n">
        <v>1</v>
      </c>
      <c r="H68" s="15" t="n">
        <v>480</v>
      </c>
      <c r="I68" s="15" t="n">
        <v>480</v>
      </c>
      <c r="J68" s="53" t="s">
        <v>613</v>
      </c>
      <c r="K68" s="45" t="n">
        <v>67</v>
      </c>
      <c r="L68" s="45" t="s">
        <v>68</v>
      </c>
      <c r="M68" s="45" t="n">
        <v>21000000059</v>
      </c>
      <c r="N68" s="58" t="s">
        <v>614</v>
      </c>
      <c r="O68" s="17" t="s">
        <v>200</v>
      </c>
      <c r="P68" s="17" t="n">
        <f aca="false">SUM(R68:AP68)</f>
        <v>1</v>
      </c>
      <c r="Q68" s="17" t="s">
        <v>71</v>
      </c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4" t="n">
        <v>1</v>
      </c>
      <c r="AO68" s="17"/>
      <c r="AP68" s="17"/>
      <c r="AQ68" s="58" t="s">
        <v>614</v>
      </c>
      <c r="AR68" s="17" t="s">
        <v>236</v>
      </c>
      <c r="AS68" s="20" t="n">
        <f aca="false">AVERAGE(AV68,BB68,BH68)</f>
        <v>422.233333333333</v>
      </c>
      <c r="AT68" s="21" t="n">
        <f aca="false">(AS68*1.3)</f>
        <v>548.903333333333</v>
      </c>
      <c r="AU68" s="48" t="s">
        <v>107</v>
      </c>
      <c r="AV68" s="20" t="n">
        <v>420</v>
      </c>
      <c r="AW68" s="23" t="s">
        <v>615</v>
      </c>
      <c r="AX68" s="45" t="s">
        <v>109</v>
      </c>
      <c r="AY68" s="17" t="s">
        <v>297</v>
      </c>
      <c r="AZ68" s="80" t="n">
        <v>44995</v>
      </c>
      <c r="BA68" s="44" t="s">
        <v>372</v>
      </c>
      <c r="BB68" s="20" t="n">
        <v>398.51</v>
      </c>
      <c r="BC68" s="16" t="s">
        <v>616</v>
      </c>
      <c r="BD68" s="45" t="s">
        <v>309</v>
      </c>
      <c r="BE68" s="17" t="s">
        <v>297</v>
      </c>
      <c r="BF68" s="80" t="n">
        <v>44995</v>
      </c>
      <c r="BG68" s="56" t="s">
        <v>617</v>
      </c>
      <c r="BH68" s="20" t="n">
        <v>448.19</v>
      </c>
      <c r="BI68" s="23" t="s">
        <v>618</v>
      </c>
      <c r="BJ68" s="45" t="s">
        <v>619</v>
      </c>
      <c r="BK68" s="17" t="s">
        <v>297</v>
      </c>
      <c r="BL68" s="80" t="n">
        <v>44995</v>
      </c>
    </row>
    <row r="69" customFormat="false" ht="102.75" hidden="false" customHeight="false" outlineLevel="0" collapsed="false">
      <c r="A69" s="28" t="s">
        <v>39</v>
      </c>
      <c r="B69" s="28" t="s">
        <v>620</v>
      </c>
      <c r="C69" s="29" t="s">
        <v>621</v>
      </c>
      <c r="D69" s="30" t="s">
        <v>65</v>
      </c>
      <c r="E69" s="30" t="s">
        <v>66</v>
      </c>
      <c r="F69" s="30" t="n">
        <v>1</v>
      </c>
      <c r="G69" s="30" t="n">
        <v>1</v>
      </c>
      <c r="H69" s="31" t="n">
        <v>250</v>
      </c>
      <c r="I69" s="31" t="n">
        <v>250</v>
      </c>
      <c r="J69" s="60" t="s">
        <v>622</v>
      </c>
      <c r="K69" s="49" t="n">
        <v>68</v>
      </c>
      <c r="L69" s="49" t="s">
        <v>68</v>
      </c>
      <c r="M69" s="49" t="n">
        <v>21000000479</v>
      </c>
      <c r="N69" s="61" t="s">
        <v>623</v>
      </c>
      <c r="O69" s="33" t="s">
        <v>200</v>
      </c>
      <c r="P69" s="33" t="n">
        <f aca="false">SUM(R69:AP69)</f>
        <v>1</v>
      </c>
      <c r="Q69" s="33" t="s">
        <v>71</v>
      </c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 t="n">
        <v>1</v>
      </c>
      <c r="AO69" s="33"/>
      <c r="AP69" s="33"/>
      <c r="AQ69" s="61" t="s">
        <v>623</v>
      </c>
      <c r="AR69" s="33" t="s">
        <v>236</v>
      </c>
      <c r="AS69" s="36" t="n">
        <f aca="false">AVERAGE(AV69,BB69,BH69)</f>
        <v>529.14</v>
      </c>
      <c r="AT69" s="21" t="n">
        <f aca="false">(AS69*1.3)</f>
        <v>687.882</v>
      </c>
      <c r="AU69" s="48" t="s">
        <v>307</v>
      </c>
      <c r="AV69" s="36" t="n">
        <v>545.37</v>
      </c>
      <c r="AW69" s="32" t="s">
        <v>624</v>
      </c>
      <c r="AX69" s="49" t="s">
        <v>309</v>
      </c>
      <c r="AY69" s="33" t="s">
        <v>625</v>
      </c>
      <c r="AZ69" s="74" t="n">
        <v>44995</v>
      </c>
      <c r="BA69" s="44" t="s">
        <v>128</v>
      </c>
      <c r="BB69" s="36" t="n">
        <v>560</v>
      </c>
      <c r="BC69" s="38" t="s">
        <v>626</v>
      </c>
      <c r="BD69" s="49" t="s">
        <v>411</v>
      </c>
      <c r="BE69" s="33" t="s">
        <v>299</v>
      </c>
      <c r="BF69" s="74" t="n">
        <v>44995</v>
      </c>
      <c r="BG69" s="56" t="s">
        <v>287</v>
      </c>
      <c r="BH69" s="36" t="n">
        <v>482.05</v>
      </c>
      <c r="BI69" s="38" t="s">
        <v>627</v>
      </c>
      <c r="BJ69" s="49" t="s">
        <v>134</v>
      </c>
      <c r="BK69" s="33" t="s">
        <v>297</v>
      </c>
      <c r="BL69" s="74" t="n">
        <v>44995</v>
      </c>
    </row>
    <row r="70" customFormat="false" ht="125.25" hidden="false" customHeight="false" outlineLevel="0" collapsed="false">
      <c r="A70" s="12" t="s">
        <v>39</v>
      </c>
      <c r="B70" s="12" t="s">
        <v>628</v>
      </c>
      <c r="C70" s="13" t="s">
        <v>629</v>
      </c>
      <c r="D70" s="14" t="s">
        <v>65</v>
      </c>
      <c r="E70" s="14" t="s">
        <v>66</v>
      </c>
      <c r="F70" s="14" t="n">
        <v>1</v>
      </c>
      <c r="G70" s="14" t="n">
        <v>1</v>
      </c>
      <c r="H70" s="15" t="n">
        <v>421</v>
      </c>
      <c r="I70" s="15" t="n">
        <v>421</v>
      </c>
      <c r="J70" s="16" t="s">
        <v>630</v>
      </c>
      <c r="K70" s="45" t="n">
        <v>69</v>
      </c>
      <c r="L70" s="17" t="s">
        <v>68</v>
      </c>
      <c r="M70" s="17" t="n">
        <v>21000000480</v>
      </c>
      <c r="N70" s="18" t="s">
        <v>631</v>
      </c>
      <c r="O70" s="17" t="s">
        <v>200</v>
      </c>
      <c r="P70" s="17" t="n">
        <f aca="false">SUM(R70:AP70)</f>
        <v>1</v>
      </c>
      <c r="Q70" s="17" t="s">
        <v>71</v>
      </c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 t="n">
        <v>1</v>
      </c>
      <c r="AO70" s="17"/>
      <c r="AP70" s="17"/>
      <c r="AQ70" s="19" t="s">
        <v>631</v>
      </c>
      <c r="AR70" s="17" t="s">
        <v>236</v>
      </c>
      <c r="AS70" s="20" t="n">
        <f aca="false">AVERAGE(AV70,BB70,BH70)</f>
        <v>276.18</v>
      </c>
      <c r="AT70" s="21" t="n">
        <f aca="false">(AS70*1.3)</f>
        <v>359.034</v>
      </c>
      <c r="AU70" s="48" t="s">
        <v>128</v>
      </c>
      <c r="AV70" s="20" t="n">
        <v>324.13</v>
      </c>
      <c r="AW70" s="23" t="s">
        <v>632</v>
      </c>
      <c r="AX70" s="45" t="s">
        <v>411</v>
      </c>
      <c r="AY70" s="17" t="s">
        <v>299</v>
      </c>
      <c r="AZ70" s="80" t="n">
        <v>44995</v>
      </c>
      <c r="BA70" s="44" t="s">
        <v>617</v>
      </c>
      <c r="BB70" s="20" t="n">
        <v>228.23</v>
      </c>
      <c r="BC70" s="16" t="s">
        <v>633</v>
      </c>
      <c r="BD70" s="45" t="s">
        <v>619</v>
      </c>
      <c r="BE70" s="17" t="s">
        <v>299</v>
      </c>
      <c r="BF70" s="80" t="n">
        <v>44995</v>
      </c>
      <c r="BG70" s="11"/>
      <c r="BH70" s="20"/>
      <c r="BI70" s="17"/>
      <c r="BJ70" s="17"/>
      <c r="BK70" s="80"/>
      <c r="BL70" s="80"/>
    </row>
    <row r="71" customFormat="false" ht="384" hidden="false" customHeight="false" outlineLevel="0" collapsed="false">
      <c r="A71" s="28" t="s">
        <v>22</v>
      </c>
      <c r="B71" s="28" t="s">
        <v>634</v>
      </c>
      <c r="C71" s="29" t="s">
        <v>635</v>
      </c>
      <c r="D71" s="30" t="s">
        <v>65</v>
      </c>
      <c r="E71" s="30" t="s">
        <v>66</v>
      </c>
      <c r="F71" s="30" t="n">
        <v>1</v>
      </c>
      <c r="G71" s="30" t="n">
        <v>25</v>
      </c>
      <c r="H71" s="31" t="n">
        <v>100</v>
      </c>
      <c r="I71" s="31" t="n">
        <v>100</v>
      </c>
      <c r="J71" s="32" t="s">
        <v>636</v>
      </c>
      <c r="K71" s="49" t="n">
        <v>70</v>
      </c>
      <c r="L71" s="33" t="s">
        <v>68</v>
      </c>
      <c r="M71" s="33" t="n">
        <v>21000000550</v>
      </c>
      <c r="N71" s="34" t="s">
        <v>637</v>
      </c>
      <c r="O71" s="33" t="s">
        <v>70</v>
      </c>
      <c r="P71" s="33" t="n">
        <f aca="false">SUM(R71:AP71)</f>
        <v>25</v>
      </c>
      <c r="Q71" s="33" t="s">
        <v>71</v>
      </c>
      <c r="R71" s="33"/>
      <c r="S71" s="33"/>
      <c r="T71" s="33"/>
      <c r="U71" s="33"/>
      <c r="V71" s="33"/>
      <c r="W71" s="33" t="n">
        <v>25</v>
      </c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0"/>
      <c r="AJ71" s="33"/>
      <c r="AK71" s="33"/>
      <c r="AL71" s="33"/>
      <c r="AM71" s="33"/>
      <c r="AN71" s="33"/>
      <c r="AO71" s="33"/>
      <c r="AP71" s="33"/>
      <c r="AQ71" s="35" t="s">
        <v>637</v>
      </c>
      <c r="AR71" s="33" t="s">
        <v>236</v>
      </c>
      <c r="AS71" s="36" t="n">
        <f aca="false">AVERAGE(AV71,BB71,BH71)</f>
        <v>4.46973333333333</v>
      </c>
      <c r="AT71" s="21" t="n">
        <f aca="false">(AS71*1.3)</f>
        <v>5.81065333333333</v>
      </c>
      <c r="AU71" s="48" t="s">
        <v>350</v>
      </c>
      <c r="AV71" s="36" t="n">
        <f aca="false">108/25</f>
        <v>4.32</v>
      </c>
      <c r="AW71" s="38" t="s">
        <v>638</v>
      </c>
      <c r="AX71" s="49" t="s">
        <v>97</v>
      </c>
      <c r="AY71" s="33" t="s">
        <v>639</v>
      </c>
      <c r="AZ71" s="74" t="n">
        <v>44995</v>
      </c>
      <c r="BA71" s="44" t="s">
        <v>157</v>
      </c>
      <c r="BB71" s="36" t="n">
        <f aca="false">109.15/25</f>
        <v>4.366</v>
      </c>
      <c r="BC71" s="38" t="s">
        <v>640</v>
      </c>
      <c r="BD71" s="49" t="s">
        <v>159</v>
      </c>
      <c r="BE71" s="33" t="s">
        <v>76</v>
      </c>
      <c r="BF71" s="74" t="n">
        <v>44995</v>
      </c>
      <c r="BG71" s="56" t="s">
        <v>128</v>
      </c>
      <c r="BH71" s="36" t="n">
        <f aca="false">118.08/25</f>
        <v>4.7232</v>
      </c>
      <c r="BI71" s="38" t="s">
        <v>641</v>
      </c>
      <c r="BJ71" s="49" t="s">
        <v>411</v>
      </c>
      <c r="BK71" s="33" t="s">
        <v>98</v>
      </c>
      <c r="BL71" s="74" t="n">
        <v>44995</v>
      </c>
    </row>
    <row r="72" customFormat="false" ht="462.75" hidden="false" customHeight="false" outlineLevel="0" collapsed="false">
      <c r="A72" s="12" t="s">
        <v>22</v>
      </c>
      <c r="B72" s="12" t="s">
        <v>642</v>
      </c>
      <c r="C72" s="13" t="s">
        <v>643</v>
      </c>
      <c r="D72" s="14" t="s">
        <v>65</v>
      </c>
      <c r="E72" s="14" t="s">
        <v>66</v>
      </c>
      <c r="F72" s="14" t="n">
        <v>500</v>
      </c>
      <c r="G72" s="14" t="n">
        <v>500</v>
      </c>
      <c r="H72" s="15" t="n">
        <v>0.35</v>
      </c>
      <c r="I72" s="15" t="n">
        <v>175</v>
      </c>
      <c r="J72" s="23" t="s">
        <v>644</v>
      </c>
      <c r="K72" s="45" t="n">
        <v>71</v>
      </c>
      <c r="L72" s="17" t="s">
        <v>68</v>
      </c>
      <c r="M72" s="17" t="n">
        <v>21000000235</v>
      </c>
      <c r="N72" s="18" t="s">
        <v>645</v>
      </c>
      <c r="O72" s="17" t="s">
        <v>70</v>
      </c>
      <c r="P72" s="17" t="n">
        <f aca="false">SUM(R72:AP72)</f>
        <v>500</v>
      </c>
      <c r="Q72" s="17" t="s">
        <v>71</v>
      </c>
      <c r="R72" s="17"/>
      <c r="S72" s="17"/>
      <c r="T72" s="17"/>
      <c r="U72" s="17"/>
      <c r="V72" s="17"/>
      <c r="W72" s="17" t="n">
        <v>500</v>
      </c>
      <c r="X72" s="17"/>
      <c r="Y72" s="17"/>
      <c r="Z72" s="17"/>
      <c r="AA72" s="82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9" t="s">
        <v>645</v>
      </c>
      <c r="AR72" s="17" t="s">
        <v>236</v>
      </c>
      <c r="AS72" s="20" t="n">
        <f aca="false">AVERAGE(AV72,BB72,BH72)</f>
        <v>0.0963133333333333</v>
      </c>
      <c r="AT72" s="21" t="n">
        <f aca="false">(AS72*1.3)</f>
        <v>0.125207333333333</v>
      </c>
      <c r="AU72" s="48" t="s">
        <v>107</v>
      </c>
      <c r="AV72" s="20" t="n">
        <f aca="false">51.36 /500</f>
        <v>0.10272</v>
      </c>
      <c r="AW72" s="23" t="s">
        <v>646</v>
      </c>
      <c r="AX72" s="45" t="s">
        <v>109</v>
      </c>
      <c r="AY72" s="17" t="s">
        <v>110</v>
      </c>
      <c r="AZ72" s="80" t="n">
        <v>44995</v>
      </c>
      <c r="BA72" s="44" t="s">
        <v>128</v>
      </c>
      <c r="BB72" s="20" t="n">
        <f aca="false">54.27 /500</f>
        <v>0.10854</v>
      </c>
      <c r="BC72" s="23" t="s">
        <v>647</v>
      </c>
      <c r="BD72" s="45" t="s">
        <v>411</v>
      </c>
      <c r="BE72" s="17" t="s">
        <v>98</v>
      </c>
      <c r="BF72" s="80" t="n">
        <v>44995</v>
      </c>
      <c r="BG72" s="56" t="s">
        <v>157</v>
      </c>
      <c r="BH72" s="20" t="n">
        <f aca="false">77.68/1000</f>
        <v>0.07768</v>
      </c>
      <c r="BI72" s="16" t="s">
        <v>648</v>
      </c>
      <c r="BJ72" s="45" t="s">
        <v>159</v>
      </c>
      <c r="BK72" s="17" t="s">
        <v>76</v>
      </c>
      <c r="BL72" s="80" t="n">
        <v>44995</v>
      </c>
    </row>
    <row r="73" customFormat="false" ht="417.75" hidden="false" customHeight="false" outlineLevel="0" collapsed="false">
      <c r="A73" s="28" t="s">
        <v>34</v>
      </c>
      <c r="B73" s="28" t="s">
        <v>649</v>
      </c>
      <c r="C73" s="29" t="s">
        <v>650</v>
      </c>
      <c r="D73" s="30" t="s">
        <v>65</v>
      </c>
      <c r="E73" s="30" t="s">
        <v>66</v>
      </c>
      <c r="F73" s="30" t="n">
        <v>250</v>
      </c>
      <c r="G73" s="30" t="n">
        <v>250</v>
      </c>
      <c r="H73" s="31" t="n">
        <v>0.12</v>
      </c>
      <c r="I73" s="31" t="n">
        <v>30</v>
      </c>
      <c r="J73" s="32" t="s">
        <v>651</v>
      </c>
      <c r="K73" s="49" t="n">
        <v>72</v>
      </c>
      <c r="L73" s="33" t="s">
        <v>68</v>
      </c>
      <c r="M73" s="33" t="n">
        <v>21000000239</v>
      </c>
      <c r="N73" s="34" t="s">
        <v>652</v>
      </c>
      <c r="O73" s="33" t="s">
        <v>70</v>
      </c>
      <c r="P73" s="33" t="n">
        <f aca="false">SUM(R73:AP73)</f>
        <v>250</v>
      </c>
      <c r="Q73" s="33" t="s">
        <v>71</v>
      </c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0" t="n">
        <v>250</v>
      </c>
      <c r="AJ73" s="33"/>
      <c r="AK73" s="33"/>
      <c r="AL73" s="33"/>
      <c r="AM73" s="33"/>
      <c r="AN73" s="33"/>
      <c r="AO73" s="33"/>
      <c r="AP73" s="33"/>
      <c r="AQ73" s="35" t="s">
        <v>652</v>
      </c>
      <c r="AR73" s="33" t="s">
        <v>236</v>
      </c>
      <c r="AS73" s="36" t="n">
        <f aca="false">AVERAGE(AV73,BB73,BH73)</f>
        <v>0.1614</v>
      </c>
      <c r="AT73" s="21" t="n">
        <f aca="false">(AS73*1.3)</f>
        <v>0.20982</v>
      </c>
      <c r="AU73" s="48" t="s">
        <v>128</v>
      </c>
      <c r="AV73" s="36" t="n">
        <f aca="false">40.46/250</f>
        <v>0.16184</v>
      </c>
      <c r="AW73" s="38" t="s">
        <v>653</v>
      </c>
      <c r="AX73" s="49" t="s">
        <v>130</v>
      </c>
      <c r="AY73" s="33" t="s">
        <v>131</v>
      </c>
      <c r="AZ73" s="74" t="n">
        <v>44995</v>
      </c>
      <c r="BA73" s="44" t="s">
        <v>107</v>
      </c>
      <c r="BB73" s="36" t="n">
        <f aca="false">40.24 /250</f>
        <v>0.16096</v>
      </c>
      <c r="BC73" s="38" t="s">
        <v>654</v>
      </c>
      <c r="BD73" s="49" t="s">
        <v>109</v>
      </c>
      <c r="BE73" s="33" t="s">
        <v>110</v>
      </c>
      <c r="BF73" s="74" t="n">
        <v>44995</v>
      </c>
      <c r="BG73" s="11"/>
      <c r="BH73" s="36"/>
      <c r="BJ73" s="33"/>
      <c r="BK73" s="74"/>
      <c r="BL73" s="74"/>
    </row>
    <row r="74" customFormat="false" ht="496.5" hidden="false" customHeight="false" outlineLevel="0" collapsed="false">
      <c r="A74" s="12" t="s">
        <v>18</v>
      </c>
      <c r="B74" s="12" t="s">
        <v>655</v>
      </c>
      <c r="C74" s="13" t="s">
        <v>656</v>
      </c>
      <c r="D74" s="14" t="s">
        <v>65</v>
      </c>
      <c r="E74" s="14" t="s">
        <v>66</v>
      </c>
      <c r="F74" s="14" t="n">
        <v>500</v>
      </c>
      <c r="G74" s="14" t="n">
        <v>500</v>
      </c>
      <c r="H74" s="15" t="n">
        <v>0.03</v>
      </c>
      <c r="I74" s="15" t="n">
        <v>15</v>
      </c>
      <c r="J74" s="23" t="s">
        <v>657</v>
      </c>
      <c r="K74" s="45" t="n">
        <v>73</v>
      </c>
      <c r="L74" s="17" t="s">
        <v>68</v>
      </c>
      <c r="M74" s="17" t="n">
        <v>21000000243</v>
      </c>
      <c r="N74" s="18" t="s">
        <v>658</v>
      </c>
      <c r="O74" s="17" t="s">
        <v>70</v>
      </c>
      <c r="P74" s="17" t="n">
        <f aca="false">SUM(R74:AP74)</f>
        <v>3500</v>
      </c>
      <c r="Q74" s="17" t="s">
        <v>71</v>
      </c>
      <c r="R74" s="17"/>
      <c r="S74" s="17" t="n">
        <v>500</v>
      </c>
      <c r="T74" s="17"/>
      <c r="U74" s="17"/>
      <c r="V74" s="17"/>
      <c r="W74" s="17" t="n">
        <v>3000</v>
      </c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4"/>
      <c r="AJ74" s="17"/>
      <c r="AK74" s="17"/>
      <c r="AL74" s="17"/>
      <c r="AM74" s="17"/>
      <c r="AN74" s="17"/>
      <c r="AO74" s="17"/>
      <c r="AP74" s="17"/>
      <c r="AQ74" s="19" t="s">
        <v>658</v>
      </c>
      <c r="AR74" s="17" t="s">
        <v>236</v>
      </c>
      <c r="AS74" s="20" t="n">
        <f aca="false">AVERAGE(AV74,BB74,BH74)</f>
        <v>0.0379</v>
      </c>
      <c r="AT74" s="21" t="n">
        <f aca="false">(AS74*1.3)</f>
        <v>0.04927</v>
      </c>
      <c r="AU74" s="48" t="s">
        <v>107</v>
      </c>
      <c r="AV74" s="20" t="n">
        <f aca="false">19.6/500</f>
        <v>0.0392</v>
      </c>
      <c r="AW74" s="23" t="s">
        <v>659</v>
      </c>
      <c r="AX74" s="45" t="s">
        <v>109</v>
      </c>
      <c r="AY74" s="17" t="s">
        <v>110</v>
      </c>
      <c r="AZ74" s="80" t="n">
        <v>44995</v>
      </c>
      <c r="BA74" s="44" t="s">
        <v>128</v>
      </c>
      <c r="BB74" s="20" t="n">
        <f aca="false">17.25 /500</f>
        <v>0.0345</v>
      </c>
      <c r="BC74" s="23" t="s">
        <v>660</v>
      </c>
      <c r="BD74" s="45" t="s">
        <v>130</v>
      </c>
      <c r="BE74" s="17" t="s">
        <v>131</v>
      </c>
      <c r="BF74" s="80" t="n">
        <v>44995</v>
      </c>
      <c r="BG74" s="56" t="s">
        <v>175</v>
      </c>
      <c r="BH74" s="20" t="n">
        <f aca="false">20/500</f>
        <v>0.04</v>
      </c>
      <c r="BI74" s="16" t="s">
        <v>661</v>
      </c>
      <c r="BJ74" s="45" t="s">
        <v>587</v>
      </c>
      <c r="BK74" s="17" t="s">
        <v>98</v>
      </c>
      <c r="BL74" s="80" t="n">
        <v>44995</v>
      </c>
    </row>
    <row r="75" customFormat="false" ht="417.75" hidden="false" customHeight="false" outlineLevel="0" collapsed="false">
      <c r="A75" s="28" t="s">
        <v>34</v>
      </c>
      <c r="B75" s="28" t="s">
        <v>662</v>
      </c>
      <c r="C75" s="29" t="s">
        <v>663</v>
      </c>
      <c r="D75" s="30" t="s">
        <v>65</v>
      </c>
      <c r="E75" s="30" t="s">
        <v>66</v>
      </c>
      <c r="F75" s="30" t="n">
        <v>1</v>
      </c>
      <c r="G75" s="30" t="n">
        <v>500</v>
      </c>
      <c r="H75" s="31" t="n">
        <v>266.55</v>
      </c>
      <c r="I75" s="31" t="n">
        <v>266.55</v>
      </c>
      <c r="J75" s="38" t="s">
        <v>664</v>
      </c>
      <c r="K75" s="49" t="n">
        <v>74</v>
      </c>
      <c r="L75" s="33" t="s">
        <v>68</v>
      </c>
      <c r="M75" s="33" t="n">
        <v>21000000569</v>
      </c>
      <c r="N75" s="34" t="s">
        <v>665</v>
      </c>
      <c r="O75" s="33" t="s">
        <v>70</v>
      </c>
      <c r="P75" s="33" t="n">
        <f aca="false">SUM(R75:AP75)</f>
        <v>500</v>
      </c>
      <c r="Q75" s="33" t="s">
        <v>71</v>
      </c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0" t="n">
        <v>500</v>
      </c>
      <c r="AJ75" s="33"/>
      <c r="AK75" s="33"/>
      <c r="AL75" s="33"/>
      <c r="AM75" s="33"/>
      <c r="AN75" s="33"/>
      <c r="AO75" s="33"/>
      <c r="AP75" s="33"/>
      <c r="AQ75" s="35" t="s">
        <v>665</v>
      </c>
      <c r="AR75" s="33" t="s">
        <v>236</v>
      </c>
      <c r="AS75" s="36" t="n">
        <f aca="false">AVERAGE(AV75,BB75,BH75)</f>
        <v>0.441493333333333</v>
      </c>
      <c r="AT75" s="21" t="n">
        <f aca="false">(AS75*1.3)</f>
        <v>0.573941333333333</v>
      </c>
      <c r="AU75" s="48" t="s">
        <v>128</v>
      </c>
      <c r="AV75" s="36" t="n">
        <f aca="false">107.44/250</f>
        <v>0.42976</v>
      </c>
      <c r="AW75" s="38" t="s">
        <v>666</v>
      </c>
      <c r="AX75" s="49" t="s">
        <v>130</v>
      </c>
      <c r="AY75" s="33" t="s">
        <v>131</v>
      </c>
      <c r="AZ75" s="74" t="n">
        <v>44995</v>
      </c>
      <c r="BA75" s="44" t="s">
        <v>128</v>
      </c>
      <c r="BB75" s="36" t="n">
        <f aca="false">133.68 /250</f>
        <v>0.53472</v>
      </c>
      <c r="BC75" s="38" t="s">
        <v>667</v>
      </c>
      <c r="BD75" s="49" t="s">
        <v>130</v>
      </c>
      <c r="BE75" s="33" t="s">
        <v>110</v>
      </c>
      <c r="BF75" s="74" t="n">
        <v>44995</v>
      </c>
      <c r="BG75" s="56" t="s">
        <v>555</v>
      </c>
      <c r="BH75" s="36" t="n">
        <f aca="false">90/250</f>
        <v>0.36</v>
      </c>
      <c r="BI75" s="32" t="s">
        <v>668</v>
      </c>
      <c r="BJ75" s="49" t="s">
        <v>503</v>
      </c>
      <c r="BK75" s="33" t="s">
        <v>289</v>
      </c>
      <c r="BL75" s="74" t="n">
        <v>44995</v>
      </c>
    </row>
    <row r="76" customFormat="false" ht="305.25" hidden="false" customHeight="false" outlineLevel="0" collapsed="false">
      <c r="A76" s="12" t="s">
        <v>34</v>
      </c>
      <c r="B76" s="12" t="s">
        <v>669</v>
      </c>
      <c r="C76" s="13" t="s">
        <v>670</v>
      </c>
      <c r="D76" s="14" t="s">
        <v>65</v>
      </c>
      <c r="E76" s="14" t="s">
        <v>66</v>
      </c>
      <c r="F76" s="14" t="n">
        <v>1</v>
      </c>
      <c r="G76" s="14" t="n">
        <v>1</v>
      </c>
      <c r="H76" s="15" t="n">
        <v>177.99</v>
      </c>
      <c r="I76" s="15" t="n">
        <v>177.99</v>
      </c>
      <c r="J76" s="23" t="s">
        <v>671</v>
      </c>
      <c r="K76" s="45" t="n">
        <v>75</v>
      </c>
      <c r="L76" s="17" t="s">
        <v>68</v>
      </c>
      <c r="M76" s="17" t="n">
        <v>21000000244</v>
      </c>
      <c r="N76" s="18" t="s">
        <v>672</v>
      </c>
      <c r="O76" s="17" t="s">
        <v>200</v>
      </c>
      <c r="P76" s="17" t="n">
        <f aca="false">SUM(R76:AP76)</f>
        <v>1</v>
      </c>
      <c r="Q76" s="17" t="s">
        <v>71</v>
      </c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4" t="n">
        <v>1</v>
      </c>
      <c r="AJ76" s="17"/>
      <c r="AK76" s="17"/>
      <c r="AL76" s="17"/>
      <c r="AM76" s="17"/>
      <c r="AN76" s="17"/>
      <c r="AO76" s="17"/>
      <c r="AP76" s="17"/>
      <c r="AQ76" s="19" t="s">
        <v>672</v>
      </c>
      <c r="AR76" s="17" t="s">
        <v>236</v>
      </c>
      <c r="AS76" s="20" t="n">
        <f aca="false">AVERAGE(AV76,BB76,BH76)</f>
        <v>0.97374</v>
      </c>
      <c r="AT76" s="21" t="n">
        <f aca="false">(AS76*1.3)</f>
        <v>1.265862</v>
      </c>
      <c r="AU76" s="48" t="s">
        <v>128</v>
      </c>
      <c r="AV76" s="20" t="n">
        <f aca="false">350.68 /250</f>
        <v>1.40272</v>
      </c>
      <c r="AW76" s="23" t="s">
        <v>673</v>
      </c>
      <c r="AX76" s="45" t="s">
        <v>130</v>
      </c>
      <c r="AY76" s="17" t="s">
        <v>131</v>
      </c>
      <c r="AZ76" s="80" t="n">
        <v>44995</v>
      </c>
      <c r="BA76" s="44" t="s">
        <v>107</v>
      </c>
      <c r="BB76" s="20" t="n">
        <f aca="false">399.25/500</f>
        <v>0.7985</v>
      </c>
      <c r="BC76" s="23" t="s">
        <v>674</v>
      </c>
      <c r="BD76" s="45" t="s">
        <v>109</v>
      </c>
      <c r="BE76" s="17" t="s">
        <v>110</v>
      </c>
      <c r="BF76" s="80" t="n">
        <v>44995</v>
      </c>
      <c r="BG76" s="56" t="s">
        <v>555</v>
      </c>
      <c r="BH76" s="20" t="n">
        <f aca="false">180/250</f>
        <v>0.72</v>
      </c>
      <c r="BI76" s="23" t="s">
        <v>675</v>
      </c>
      <c r="BJ76" s="45" t="s">
        <v>503</v>
      </c>
      <c r="BK76" s="17" t="s">
        <v>289</v>
      </c>
      <c r="BL76" s="80" t="n">
        <v>44995</v>
      </c>
    </row>
    <row r="77" customFormat="false" ht="462.75" hidden="false" customHeight="false" outlineLevel="0" collapsed="false">
      <c r="A77" s="28" t="s">
        <v>22</v>
      </c>
      <c r="B77" s="28" t="s">
        <v>676</v>
      </c>
      <c r="C77" s="29" t="s">
        <v>677</v>
      </c>
      <c r="D77" s="30" t="s">
        <v>65</v>
      </c>
      <c r="E77" s="30" t="s">
        <v>66</v>
      </c>
      <c r="F77" s="30" t="n">
        <v>24</v>
      </c>
      <c r="G77" s="30" t="n">
        <v>24000</v>
      </c>
      <c r="H77" s="31" t="n">
        <v>60</v>
      </c>
      <c r="I77" s="31" t="n">
        <v>1440</v>
      </c>
      <c r="J77" s="38" t="s">
        <v>678</v>
      </c>
      <c r="K77" s="49" t="n">
        <v>76</v>
      </c>
      <c r="L77" s="33" t="s">
        <v>68</v>
      </c>
      <c r="M77" s="33" t="n">
        <v>21000000245</v>
      </c>
      <c r="N77" s="34" t="s">
        <v>679</v>
      </c>
      <c r="O77" s="33" t="s">
        <v>70</v>
      </c>
      <c r="P77" s="33" t="n">
        <f aca="false">SUM(R77:AP77)</f>
        <v>24250</v>
      </c>
      <c r="Q77" s="33" t="s">
        <v>71</v>
      </c>
      <c r="R77" s="33"/>
      <c r="S77" s="33"/>
      <c r="T77" s="33"/>
      <c r="U77" s="33"/>
      <c r="V77" s="33"/>
      <c r="W77" s="33" t="n">
        <v>24000</v>
      </c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 t="n">
        <v>250</v>
      </c>
      <c r="AJ77" s="33"/>
      <c r="AK77" s="33"/>
      <c r="AL77" s="33"/>
      <c r="AM77" s="33"/>
      <c r="AN77" s="33"/>
      <c r="AO77" s="30"/>
      <c r="AP77" s="33"/>
      <c r="AQ77" s="35" t="s">
        <v>679</v>
      </c>
      <c r="AR77" s="33" t="s">
        <v>236</v>
      </c>
      <c r="AS77" s="36" t="n">
        <f aca="false">AVERAGE(AV77,BB77,BH77)</f>
        <v>0.18584</v>
      </c>
      <c r="AT77" s="21" t="n">
        <f aca="false">(AS77*1.3)</f>
        <v>0.241592</v>
      </c>
      <c r="AU77" s="48" t="s">
        <v>87</v>
      </c>
      <c r="AV77" s="36" t="n">
        <f aca="false">46.46/250</f>
        <v>0.18584</v>
      </c>
      <c r="AW77" s="38" t="s">
        <v>680</v>
      </c>
      <c r="AX77" s="49" t="s">
        <v>610</v>
      </c>
      <c r="AY77" s="33" t="s">
        <v>255</v>
      </c>
      <c r="AZ77" s="74" t="n">
        <v>44995</v>
      </c>
      <c r="BA77" s="10"/>
      <c r="BB77" s="36"/>
      <c r="BC77" s="33"/>
      <c r="BD77" s="33"/>
      <c r="BE77" s="74"/>
      <c r="BF77" s="74"/>
      <c r="BG77" s="11"/>
      <c r="BH77" s="36"/>
      <c r="BI77" s="33"/>
      <c r="BJ77" s="33"/>
      <c r="BK77" s="33"/>
      <c r="BL77" s="33"/>
    </row>
    <row r="78" customFormat="false" ht="451.5" hidden="false" customHeight="false" outlineLevel="0" collapsed="false">
      <c r="A78" s="12" t="s">
        <v>34</v>
      </c>
      <c r="B78" s="12" t="s">
        <v>681</v>
      </c>
      <c r="C78" s="13" t="s">
        <v>682</v>
      </c>
      <c r="D78" s="14" t="s">
        <v>65</v>
      </c>
      <c r="E78" s="14" t="s">
        <v>66</v>
      </c>
      <c r="F78" s="14" t="n">
        <v>500</v>
      </c>
      <c r="G78" s="14" t="n">
        <v>500</v>
      </c>
      <c r="H78" s="15" t="n">
        <v>0.05</v>
      </c>
      <c r="I78" s="15" t="n">
        <v>25</v>
      </c>
      <c r="J78" s="23" t="s">
        <v>683</v>
      </c>
      <c r="K78" s="45" t="n">
        <v>77</v>
      </c>
      <c r="L78" s="17" t="s">
        <v>68</v>
      </c>
      <c r="M78" s="17" t="n">
        <v>21000000172</v>
      </c>
      <c r="N78" s="18" t="s">
        <v>684</v>
      </c>
      <c r="O78" s="17" t="s">
        <v>70</v>
      </c>
      <c r="P78" s="17" t="n">
        <f aca="false">SUM(R78:AP78)</f>
        <v>500</v>
      </c>
      <c r="Q78" s="17" t="s">
        <v>71</v>
      </c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 t="n">
        <v>500</v>
      </c>
      <c r="AJ78" s="17"/>
      <c r="AK78" s="17"/>
      <c r="AL78" s="17"/>
      <c r="AM78" s="17"/>
      <c r="AN78" s="17"/>
      <c r="AO78" s="17"/>
      <c r="AP78" s="14"/>
      <c r="AQ78" s="19" t="s">
        <v>684</v>
      </c>
      <c r="AR78" s="17" t="s">
        <v>236</v>
      </c>
      <c r="AS78" s="20" t="n">
        <f aca="false">AVERAGE(AV78,BB78,BH78)</f>
        <v>0.10093</v>
      </c>
      <c r="AT78" s="21" t="n">
        <f aca="false">(AS78*1.3)</f>
        <v>0.131209</v>
      </c>
      <c r="AU78" s="48" t="s">
        <v>157</v>
      </c>
      <c r="AV78" s="20" t="n">
        <f aca="false">48.85 /500</f>
        <v>0.0977</v>
      </c>
      <c r="AW78" s="83" t="s">
        <v>685</v>
      </c>
      <c r="AX78" s="45" t="s">
        <v>159</v>
      </c>
      <c r="AY78" s="17" t="s">
        <v>76</v>
      </c>
      <c r="AZ78" s="80" t="n">
        <v>44995</v>
      </c>
      <c r="BA78" s="44" t="s">
        <v>107</v>
      </c>
      <c r="BB78" s="20" t="n">
        <f aca="false">104.16 /1000</f>
        <v>0.10416</v>
      </c>
      <c r="BC78" s="16" t="s">
        <v>686</v>
      </c>
      <c r="BD78" s="45" t="s">
        <v>109</v>
      </c>
      <c r="BE78" s="17" t="s">
        <v>110</v>
      </c>
      <c r="BF78" s="80" t="n">
        <v>44995</v>
      </c>
      <c r="BG78" s="11"/>
      <c r="BH78" s="20"/>
      <c r="BI78" s="17"/>
      <c r="BJ78" s="17"/>
      <c r="BK78" s="17"/>
      <c r="BL78" s="17"/>
    </row>
    <row r="79" customFormat="false" ht="541.5" hidden="false" customHeight="false" outlineLevel="0" collapsed="false">
      <c r="A79" s="28" t="s">
        <v>34</v>
      </c>
      <c r="B79" s="28" t="s">
        <v>687</v>
      </c>
      <c r="C79" s="29" t="s">
        <v>688</v>
      </c>
      <c r="D79" s="30" t="s">
        <v>65</v>
      </c>
      <c r="E79" s="30" t="s">
        <v>66</v>
      </c>
      <c r="F79" s="30" t="n">
        <v>1</v>
      </c>
      <c r="G79" s="30" t="n">
        <v>1000</v>
      </c>
      <c r="H79" s="31" t="n">
        <v>21</v>
      </c>
      <c r="I79" s="31" t="n">
        <v>21</v>
      </c>
      <c r="J79" s="38" t="s">
        <v>689</v>
      </c>
      <c r="K79" s="49" t="n">
        <v>78</v>
      </c>
      <c r="L79" s="33" t="s">
        <v>68</v>
      </c>
      <c r="M79" s="33" t="n">
        <v>21000000568</v>
      </c>
      <c r="N79" s="34" t="s">
        <v>690</v>
      </c>
      <c r="O79" s="33" t="s">
        <v>70</v>
      </c>
      <c r="P79" s="33" t="n">
        <f aca="false">SUM(R79:AP79)</f>
        <v>1000</v>
      </c>
      <c r="Q79" s="33" t="s">
        <v>71</v>
      </c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0" t="n">
        <v>1000</v>
      </c>
      <c r="AJ79" s="33"/>
      <c r="AK79" s="33"/>
      <c r="AL79" s="33"/>
      <c r="AM79" s="33"/>
      <c r="AN79" s="33"/>
      <c r="AO79" s="33"/>
      <c r="AP79" s="33"/>
      <c r="AQ79" s="35" t="s">
        <v>690</v>
      </c>
      <c r="AR79" s="33" t="s">
        <v>236</v>
      </c>
      <c r="AS79" s="36" t="n">
        <f aca="false">AVERAGE(AV79,BB79,BH79)</f>
        <v>1.4386</v>
      </c>
      <c r="AT79" s="21" t="n">
        <f aca="false">(AS79*1.3)</f>
        <v>1.87018</v>
      </c>
      <c r="AU79" s="48" t="s">
        <v>128</v>
      </c>
      <c r="AV79" s="36" t="n">
        <f aca="false">359.65/250</f>
        <v>1.4386</v>
      </c>
      <c r="AW79" s="38" t="s">
        <v>691</v>
      </c>
      <c r="AX79" s="49" t="s">
        <v>411</v>
      </c>
      <c r="AY79" s="33" t="s">
        <v>253</v>
      </c>
      <c r="AZ79" s="74" t="n">
        <v>44995</v>
      </c>
      <c r="BA79" s="10"/>
      <c r="BB79" s="36"/>
      <c r="BC79" s="33"/>
      <c r="BD79" s="74"/>
      <c r="BE79" s="74"/>
      <c r="BF79" s="74"/>
      <c r="BG79" s="11"/>
      <c r="BH79" s="36"/>
      <c r="BI79" s="33"/>
      <c r="BJ79" s="33"/>
      <c r="BK79" s="33"/>
      <c r="BL79" s="33"/>
    </row>
    <row r="80" customFormat="false" ht="462.75" hidden="false" customHeight="false" outlineLevel="0" collapsed="false">
      <c r="A80" s="12" t="s">
        <v>22</v>
      </c>
      <c r="B80" s="12" t="s">
        <v>692</v>
      </c>
      <c r="C80" s="13" t="s">
        <v>693</v>
      </c>
      <c r="D80" s="14" t="s">
        <v>65</v>
      </c>
      <c r="E80" s="14" t="s">
        <v>66</v>
      </c>
      <c r="F80" s="14" t="n">
        <v>6000</v>
      </c>
      <c r="G80" s="14" t="n">
        <v>6000</v>
      </c>
      <c r="H80" s="15" t="n">
        <v>0.54</v>
      </c>
      <c r="I80" s="15" t="n">
        <v>3240</v>
      </c>
      <c r="J80" s="23" t="s">
        <v>694</v>
      </c>
      <c r="K80" s="45" t="n">
        <v>79</v>
      </c>
      <c r="L80" s="17" t="s">
        <v>68</v>
      </c>
      <c r="M80" s="17" t="n">
        <v>21000000166</v>
      </c>
      <c r="N80" s="18" t="s">
        <v>695</v>
      </c>
      <c r="O80" s="17" t="s">
        <v>70</v>
      </c>
      <c r="P80" s="17" t="n">
        <f aca="false">SUM(R80:AP80)</f>
        <v>27000</v>
      </c>
      <c r="Q80" s="17" t="s">
        <v>71</v>
      </c>
      <c r="R80" s="17"/>
      <c r="S80" s="17"/>
      <c r="T80" s="17"/>
      <c r="U80" s="17"/>
      <c r="V80" s="17"/>
      <c r="W80" s="17" t="n">
        <v>6000</v>
      </c>
      <c r="X80" s="17"/>
      <c r="Y80" s="17"/>
      <c r="Z80" s="17"/>
      <c r="AA80" s="17" t="n">
        <v>1500</v>
      </c>
      <c r="AB80" s="17" t="n">
        <v>2000</v>
      </c>
      <c r="AC80" s="17"/>
      <c r="AD80" s="17"/>
      <c r="AE80" s="17"/>
      <c r="AF80" s="17"/>
      <c r="AG80" s="17"/>
      <c r="AH80" s="17"/>
      <c r="AI80" s="17" t="n">
        <v>1000</v>
      </c>
      <c r="AJ80" s="17"/>
      <c r="AK80" s="17"/>
      <c r="AL80" s="17"/>
      <c r="AM80" s="17"/>
      <c r="AN80" s="17"/>
      <c r="AO80" s="17" t="n">
        <v>500</v>
      </c>
      <c r="AP80" s="17" t="n">
        <v>16000</v>
      </c>
      <c r="AQ80" s="19" t="s">
        <v>695</v>
      </c>
      <c r="AR80" s="17" t="s">
        <v>236</v>
      </c>
      <c r="AS80" s="20" t="n">
        <f aca="false">AVERAGE(AV80,BB80,BH80)</f>
        <v>0.06172</v>
      </c>
      <c r="AT80" s="21" t="n">
        <f aca="false">(AS80*1.3)</f>
        <v>0.080236</v>
      </c>
      <c r="AU80" s="48" t="s">
        <v>175</v>
      </c>
      <c r="AV80" s="20" t="n">
        <f aca="false">35 /500</f>
        <v>0.07</v>
      </c>
      <c r="AW80" s="23" t="s">
        <v>696</v>
      </c>
      <c r="AX80" s="45" t="s">
        <v>587</v>
      </c>
      <c r="AY80" s="17" t="s">
        <v>94</v>
      </c>
      <c r="AZ80" s="80" t="n">
        <v>44995</v>
      </c>
      <c r="BA80" s="44" t="s">
        <v>128</v>
      </c>
      <c r="BB80" s="20" t="n">
        <f aca="false">27.62/500</f>
        <v>0.05524</v>
      </c>
      <c r="BC80" s="23" t="s">
        <v>697</v>
      </c>
      <c r="BD80" s="45" t="s">
        <v>411</v>
      </c>
      <c r="BE80" s="17" t="s">
        <v>253</v>
      </c>
      <c r="BF80" s="80" t="n">
        <v>44995</v>
      </c>
      <c r="BG80" s="56" t="s">
        <v>107</v>
      </c>
      <c r="BH80" s="20" t="n">
        <f aca="false">59.92/1000</f>
        <v>0.05992</v>
      </c>
      <c r="BI80" s="23" t="s">
        <v>698</v>
      </c>
      <c r="BJ80" s="45" t="s">
        <v>109</v>
      </c>
      <c r="BK80" s="17" t="s">
        <v>253</v>
      </c>
      <c r="BL80" s="80" t="n">
        <v>44995</v>
      </c>
    </row>
    <row r="81" customFormat="false" ht="294" hidden="false" customHeight="false" outlineLevel="0" collapsed="false">
      <c r="A81" s="28" t="s">
        <v>22</v>
      </c>
      <c r="B81" s="28" t="s">
        <v>699</v>
      </c>
      <c r="C81" s="29" t="s">
        <v>700</v>
      </c>
      <c r="D81" s="30" t="s">
        <v>65</v>
      </c>
      <c r="E81" s="30" t="s">
        <v>66</v>
      </c>
      <c r="F81" s="30" t="n">
        <v>3</v>
      </c>
      <c r="G81" s="30" t="n">
        <v>3</v>
      </c>
      <c r="H81" s="31" t="n">
        <v>177.14</v>
      </c>
      <c r="I81" s="31" t="n">
        <v>531.42</v>
      </c>
      <c r="J81" s="38" t="s">
        <v>701</v>
      </c>
      <c r="K81" s="49" t="n">
        <v>80</v>
      </c>
      <c r="L81" s="33" t="s">
        <v>68</v>
      </c>
      <c r="M81" s="33" t="n">
        <v>21000000163</v>
      </c>
      <c r="N81" s="34" t="s">
        <v>702</v>
      </c>
      <c r="O81" s="33" t="s">
        <v>703</v>
      </c>
      <c r="P81" s="33" t="n">
        <f aca="false">SUM(R81:AP81)</f>
        <v>3</v>
      </c>
      <c r="Q81" s="33" t="s">
        <v>71</v>
      </c>
      <c r="R81" s="33"/>
      <c r="S81" s="33"/>
      <c r="T81" s="33"/>
      <c r="U81" s="33"/>
      <c r="V81" s="33"/>
      <c r="W81" s="33" t="n">
        <v>3</v>
      </c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0"/>
      <c r="AQ81" s="35" t="s">
        <v>702</v>
      </c>
      <c r="AR81" s="33" t="s">
        <v>72</v>
      </c>
      <c r="AS81" s="36" t="n">
        <f aca="false">AVERAGE(AV81,BB81,BH81)</f>
        <v>0.167446666666667</v>
      </c>
      <c r="AT81" s="21" t="n">
        <f aca="false">(AS81*1.3)</f>
        <v>0.217680666666667</v>
      </c>
      <c r="AU81" s="48" t="s">
        <v>107</v>
      </c>
      <c r="AV81" s="36" t="n">
        <f aca="false">48.22 *2/500</f>
        <v>0.19288</v>
      </c>
      <c r="AW81" s="32" t="s">
        <v>704</v>
      </c>
      <c r="AX81" s="49" t="s">
        <v>109</v>
      </c>
      <c r="AY81" s="33" t="s">
        <v>110</v>
      </c>
      <c r="AZ81" s="74" t="n">
        <v>44995</v>
      </c>
      <c r="BA81" s="44" t="s">
        <v>705</v>
      </c>
      <c r="BB81" s="36" t="n">
        <f aca="false">75 /500</f>
        <v>0.15</v>
      </c>
      <c r="BC81" s="38" t="s">
        <v>706</v>
      </c>
      <c r="BD81" s="49" t="s">
        <v>130</v>
      </c>
      <c r="BE81" s="33" t="s">
        <v>131</v>
      </c>
      <c r="BF81" s="74" t="n">
        <v>44995</v>
      </c>
      <c r="BG81" s="56" t="s">
        <v>104</v>
      </c>
      <c r="BH81" s="36" t="n">
        <f aca="false">79.73/500</f>
        <v>0.15946</v>
      </c>
      <c r="BI81" s="38" t="s">
        <v>707</v>
      </c>
      <c r="BJ81" s="49" t="s">
        <v>420</v>
      </c>
      <c r="BK81" s="33" t="s">
        <v>519</v>
      </c>
      <c r="BL81" s="74" t="n">
        <v>44995</v>
      </c>
    </row>
    <row r="82" customFormat="false" ht="384" hidden="false" customHeight="false" outlineLevel="0" collapsed="false">
      <c r="A82" s="12" t="s">
        <v>22</v>
      </c>
      <c r="B82" s="12" t="s">
        <v>708</v>
      </c>
      <c r="C82" s="13" t="s">
        <v>709</v>
      </c>
      <c r="D82" s="14" t="s">
        <v>65</v>
      </c>
      <c r="E82" s="14" t="s">
        <v>66</v>
      </c>
      <c r="F82" s="14" t="n">
        <v>1500</v>
      </c>
      <c r="G82" s="14" t="n">
        <v>1500</v>
      </c>
      <c r="H82" s="15" t="n">
        <v>0.11</v>
      </c>
      <c r="I82" s="15" t="n">
        <v>165</v>
      </c>
      <c r="J82" s="23" t="s">
        <v>710</v>
      </c>
      <c r="K82" s="45" t="n">
        <v>81</v>
      </c>
      <c r="L82" s="17" t="s">
        <v>68</v>
      </c>
      <c r="M82" s="17" t="n">
        <v>21000000157</v>
      </c>
      <c r="N82" s="18" t="s">
        <v>711</v>
      </c>
      <c r="O82" s="17" t="s">
        <v>70</v>
      </c>
      <c r="P82" s="17" t="n">
        <f aca="false">SUM(R82:AP82)</f>
        <v>1500</v>
      </c>
      <c r="Q82" s="17" t="s">
        <v>71</v>
      </c>
      <c r="R82" s="17"/>
      <c r="S82" s="17"/>
      <c r="T82" s="17"/>
      <c r="U82" s="17"/>
      <c r="V82" s="17"/>
      <c r="W82" s="17" t="n">
        <v>1500</v>
      </c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4"/>
      <c r="AJ82" s="17"/>
      <c r="AK82" s="17"/>
      <c r="AL82" s="17"/>
      <c r="AM82" s="17"/>
      <c r="AN82" s="17"/>
      <c r="AO82" s="17"/>
      <c r="AP82" s="17"/>
      <c r="AQ82" s="19" t="s">
        <v>711</v>
      </c>
      <c r="AR82" s="17" t="s">
        <v>72</v>
      </c>
      <c r="AS82" s="20" t="n">
        <f aca="false">AVERAGE(AV82,BB82,BH82)</f>
        <v>0.0633333333333333</v>
      </c>
      <c r="AT82" s="20" t="n">
        <f aca="false">(AS82*1.3)</f>
        <v>0.0823333333333333</v>
      </c>
      <c r="AU82" s="84" t="s">
        <v>128</v>
      </c>
      <c r="AV82" s="20" t="n">
        <v>0.03</v>
      </c>
      <c r="AW82" s="23" t="s">
        <v>712</v>
      </c>
      <c r="AX82" s="45" t="s">
        <v>130</v>
      </c>
      <c r="AY82" s="17" t="s">
        <v>131</v>
      </c>
      <c r="AZ82" s="80" t="n">
        <v>44995</v>
      </c>
      <c r="BA82" s="85" t="s">
        <v>107</v>
      </c>
      <c r="BB82" s="20" t="n">
        <v>0.08</v>
      </c>
      <c r="BC82" s="23" t="s">
        <v>713</v>
      </c>
      <c r="BD82" s="45" t="s">
        <v>109</v>
      </c>
      <c r="BE82" s="17" t="s">
        <v>110</v>
      </c>
      <c r="BF82" s="80" t="n">
        <v>44995</v>
      </c>
      <c r="BG82" s="56" t="s">
        <v>157</v>
      </c>
      <c r="BH82" s="20" t="n">
        <v>0.08</v>
      </c>
      <c r="BI82" s="23" t="s">
        <v>714</v>
      </c>
      <c r="BJ82" s="45" t="s">
        <v>159</v>
      </c>
      <c r="BK82" s="17" t="s">
        <v>289</v>
      </c>
      <c r="BL82" s="80" t="n">
        <v>44995</v>
      </c>
    </row>
    <row r="83" customFormat="false" ht="282.75" hidden="false" customHeight="false" outlineLevel="0" collapsed="false">
      <c r="A83" s="28" t="s">
        <v>34</v>
      </c>
      <c r="B83" s="28" t="s">
        <v>715</v>
      </c>
      <c r="C83" s="29" t="s">
        <v>716</v>
      </c>
      <c r="D83" s="30" t="s">
        <v>65</v>
      </c>
      <c r="E83" s="30" t="s">
        <v>66</v>
      </c>
      <c r="F83" s="30" t="n">
        <v>500</v>
      </c>
      <c r="G83" s="30" t="n">
        <v>500</v>
      </c>
      <c r="H83" s="31" t="n">
        <v>0.18</v>
      </c>
      <c r="I83" s="31" t="n">
        <v>90</v>
      </c>
      <c r="J83" s="38" t="s">
        <v>717</v>
      </c>
      <c r="K83" s="49" t="n">
        <v>82</v>
      </c>
      <c r="L83" s="33" t="s">
        <v>68</v>
      </c>
      <c r="M83" s="33" t="n">
        <v>21000000155</v>
      </c>
      <c r="N83" s="34" t="s">
        <v>718</v>
      </c>
      <c r="O83" s="33" t="s">
        <v>70</v>
      </c>
      <c r="P83" s="33" t="n">
        <f aca="false">SUM(R83:AP83)</f>
        <v>2000</v>
      </c>
      <c r="Q83" s="33" t="s">
        <v>71</v>
      </c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0" t="n">
        <v>500</v>
      </c>
      <c r="AJ83" s="33"/>
      <c r="AK83" s="33"/>
      <c r="AL83" s="33"/>
      <c r="AM83" s="33"/>
      <c r="AN83" s="33"/>
      <c r="AO83" s="33"/>
      <c r="AP83" s="33" t="n">
        <v>1500</v>
      </c>
      <c r="AQ83" s="35" t="s">
        <v>718</v>
      </c>
      <c r="AR83" s="33" t="s">
        <v>72</v>
      </c>
      <c r="AS83" s="36" t="n">
        <f aca="false">AVERAGE(AV83,BB83,BH83)</f>
        <v>1.03333333333333</v>
      </c>
      <c r="AT83" s="21" t="n">
        <f aca="false">(AS83*1.3)</f>
        <v>1.34333333333333</v>
      </c>
      <c r="AU83" s="84" t="s">
        <v>157</v>
      </c>
      <c r="AV83" s="36" t="n">
        <v>0.8</v>
      </c>
      <c r="AW83" s="38" t="s">
        <v>719</v>
      </c>
      <c r="AX83" s="49" t="s">
        <v>159</v>
      </c>
      <c r="AY83" s="33" t="s">
        <v>94</v>
      </c>
      <c r="AZ83" s="74" t="n">
        <v>44995</v>
      </c>
      <c r="BA83" s="44" t="s">
        <v>720</v>
      </c>
      <c r="BB83" s="36" t="n">
        <v>1.38</v>
      </c>
      <c r="BC83" s="38" t="s">
        <v>721</v>
      </c>
      <c r="BD83" s="49" t="s">
        <v>722</v>
      </c>
      <c r="BE83" s="33" t="s">
        <v>94</v>
      </c>
      <c r="BF83" s="74" t="n">
        <v>44995</v>
      </c>
      <c r="BG83" s="56" t="s">
        <v>287</v>
      </c>
      <c r="BH83" s="36" t="n">
        <v>0.92</v>
      </c>
      <c r="BI83" s="38" t="s">
        <v>723</v>
      </c>
      <c r="BJ83" s="49" t="s">
        <v>134</v>
      </c>
      <c r="BK83" s="33" t="s">
        <v>289</v>
      </c>
      <c r="BL83" s="74" t="n">
        <v>44995</v>
      </c>
    </row>
    <row r="84" customFormat="false" ht="406.5" hidden="false" customHeight="false" outlineLevel="0" collapsed="false">
      <c r="A84" s="12" t="s">
        <v>22</v>
      </c>
      <c r="B84" s="12" t="s">
        <v>724</v>
      </c>
      <c r="C84" s="13" t="s">
        <v>725</v>
      </c>
      <c r="D84" s="14" t="s">
        <v>65</v>
      </c>
      <c r="E84" s="14" t="s">
        <v>66</v>
      </c>
      <c r="F84" s="14" t="n">
        <v>1000</v>
      </c>
      <c r="G84" s="14" t="n">
        <v>1000</v>
      </c>
      <c r="H84" s="15" t="n">
        <v>0.1</v>
      </c>
      <c r="I84" s="15" t="n">
        <v>100</v>
      </c>
      <c r="J84" s="16" t="s">
        <v>726</v>
      </c>
      <c r="K84" s="45" t="n">
        <v>83</v>
      </c>
      <c r="L84" s="17" t="s">
        <v>68</v>
      </c>
      <c r="M84" s="17" t="n">
        <v>21000000029</v>
      </c>
      <c r="N84" s="18" t="s">
        <v>727</v>
      </c>
      <c r="O84" s="17" t="s">
        <v>70</v>
      </c>
      <c r="P84" s="17" t="n">
        <f aca="false">SUM(R84:AP84)</f>
        <v>3000</v>
      </c>
      <c r="Q84" s="17" t="s">
        <v>71</v>
      </c>
      <c r="R84" s="17"/>
      <c r="S84" s="17"/>
      <c r="T84" s="17"/>
      <c r="U84" s="17"/>
      <c r="V84" s="17"/>
      <c r="W84" s="17" t="n">
        <v>1000</v>
      </c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4" t="n">
        <v>2000</v>
      </c>
      <c r="AJ84" s="17"/>
      <c r="AK84" s="17"/>
      <c r="AL84" s="17"/>
      <c r="AM84" s="17"/>
      <c r="AN84" s="17"/>
      <c r="AO84" s="17"/>
      <c r="AP84" s="17"/>
      <c r="AQ84" s="19" t="s">
        <v>727</v>
      </c>
      <c r="AR84" s="17" t="s">
        <v>72</v>
      </c>
      <c r="AS84" s="20" t="n">
        <f aca="false">AVERAGE(AV84,BB84,BH84)</f>
        <v>0.133333333333333</v>
      </c>
      <c r="AT84" s="21" t="n">
        <f aca="false">(AS84*1.3)</f>
        <v>0.173333333333333</v>
      </c>
      <c r="AU84" s="84" t="s">
        <v>128</v>
      </c>
      <c r="AV84" s="20" t="n">
        <v>0.18</v>
      </c>
      <c r="AW84" s="23" t="s">
        <v>728</v>
      </c>
      <c r="AX84" s="45" t="s">
        <v>130</v>
      </c>
      <c r="AY84" s="17" t="s">
        <v>131</v>
      </c>
      <c r="AZ84" s="80" t="n">
        <v>44995</v>
      </c>
      <c r="BA84" s="85" t="s">
        <v>107</v>
      </c>
      <c r="BB84" s="20" t="n">
        <v>0.12</v>
      </c>
      <c r="BC84" s="23" t="s">
        <v>729</v>
      </c>
      <c r="BD84" s="45" t="s">
        <v>109</v>
      </c>
      <c r="BE84" s="17" t="s">
        <v>110</v>
      </c>
      <c r="BF84" s="80" t="n">
        <v>44995</v>
      </c>
      <c r="BG84" s="56" t="s">
        <v>175</v>
      </c>
      <c r="BH84" s="20" t="n">
        <v>0.1</v>
      </c>
      <c r="BI84" s="23" t="s">
        <v>730</v>
      </c>
      <c r="BJ84" s="45" t="s">
        <v>587</v>
      </c>
      <c r="BK84" s="17" t="s">
        <v>731</v>
      </c>
      <c r="BL84" s="80" t="n">
        <v>44995</v>
      </c>
    </row>
    <row r="85" customFormat="false" ht="451.5" hidden="false" customHeight="false" outlineLevel="0" collapsed="false">
      <c r="A85" s="28" t="s">
        <v>18</v>
      </c>
      <c r="B85" s="28" t="s">
        <v>732</v>
      </c>
      <c r="C85" s="29" t="s">
        <v>733</v>
      </c>
      <c r="D85" s="30" t="s">
        <v>65</v>
      </c>
      <c r="E85" s="30" t="s">
        <v>66</v>
      </c>
      <c r="F85" s="30" t="n">
        <v>500</v>
      </c>
      <c r="G85" s="30" t="n">
        <v>500</v>
      </c>
      <c r="H85" s="31" t="n">
        <v>0.02</v>
      </c>
      <c r="I85" s="31" t="n">
        <v>10</v>
      </c>
      <c r="J85" s="32" t="s">
        <v>734</v>
      </c>
      <c r="K85" s="49" t="n">
        <v>84</v>
      </c>
      <c r="L85" s="33" t="s">
        <v>68</v>
      </c>
      <c r="M85" s="33" t="n">
        <v>292000000284</v>
      </c>
      <c r="N85" s="34" t="s">
        <v>735</v>
      </c>
      <c r="O85" s="33" t="s">
        <v>70</v>
      </c>
      <c r="P85" s="33" t="n">
        <f aca="false">SUM(R85:AP85)</f>
        <v>1500</v>
      </c>
      <c r="Q85" s="33" t="s">
        <v>71</v>
      </c>
      <c r="R85" s="33"/>
      <c r="S85" s="33" t="n">
        <v>500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0" t="n">
        <v>1000</v>
      </c>
      <c r="AJ85" s="33"/>
      <c r="AK85" s="33"/>
      <c r="AL85" s="33"/>
      <c r="AM85" s="33"/>
      <c r="AN85" s="33"/>
      <c r="AO85" s="33"/>
      <c r="AP85" s="33"/>
      <c r="AQ85" s="35" t="s">
        <v>735</v>
      </c>
      <c r="AR85" s="33" t="s">
        <v>72</v>
      </c>
      <c r="AS85" s="36" t="n">
        <f aca="false">AVERAGE(AV85,BB85,BH85)</f>
        <v>0.205</v>
      </c>
      <c r="AT85" s="21" t="n">
        <f aca="false">(AS85*1.3)</f>
        <v>0.2665</v>
      </c>
      <c r="AU85" s="84" t="s">
        <v>107</v>
      </c>
      <c r="AV85" s="36" t="n">
        <v>0.12</v>
      </c>
      <c r="AW85" s="38" t="s">
        <v>736</v>
      </c>
      <c r="AX85" s="49" t="s">
        <v>109</v>
      </c>
      <c r="AY85" s="33" t="s">
        <v>110</v>
      </c>
      <c r="AZ85" s="74" t="n">
        <v>44995</v>
      </c>
      <c r="BA85" s="44" t="s">
        <v>737</v>
      </c>
      <c r="BB85" s="36" t="n">
        <v>0.29</v>
      </c>
      <c r="BC85" s="38" t="s">
        <v>738</v>
      </c>
      <c r="BD85" s="49" t="s">
        <v>739</v>
      </c>
      <c r="BE85" s="33" t="s">
        <v>740</v>
      </c>
      <c r="BF85" s="74" t="n">
        <v>44995</v>
      </c>
      <c r="BG85" s="11"/>
      <c r="BH85" s="36"/>
      <c r="BI85" s="33"/>
      <c r="BJ85" s="33"/>
      <c r="BK85" s="74"/>
      <c r="BL85" s="74"/>
    </row>
    <row r="86" customFormat="false" ht="417.75" hidden="false" customHeight="false" outlineLevel="0" collapsed="false">
      <c r="A86" s="12" t="s">
        <v>22</v>
      </c>
      <c r="B86" s="12" t="s">
        <v>741</v>
      </c>
      <c r="C86" s="13" t="s">
        <v>742</v>
      </c>
      <c r="D86" s="14" t="s">
        <v>65</v>
      </c>
      <c r="E86" s="14" t="s">
        <v>66</v>
      </c>
      <c r="F86" s="14" t="n">
        <v>1</v>
      </c>
      <c r="G86" s="14" t="n">
        <v>500</v>
      </c>
      <c r="H86" s="15" t="n">
        <v>230</v>
      </c>
      <c r="I86" s="15" t="n">
        <v>230</v>
      </c>
      <c r="J86" s="16" t="s">
        <v>743</v>
      </c>
      <c r="K86" s="45" t="n">
        <v>85</v>
      </c>
      <c r="L86" s="17" t="s">
        <v>68</v>
      </c>
      <c r="M86" s="17" t="n">
        <v>21000000031</v>
      </c>
      <c r="N86" s="18" t="s">
        <v>744</v>
      </c>
      <c r="O86" s="17" t="s">
        <v>70</v>
      </c>
      <c r="P86" s="17" t="n">
        <f aca="false">SUM(R86:AP86)</f>
        <v>4000</v>
      </c>
      <c r="Q86" s="17" t="s">
        <v>71</v>
      </c>
      <c r="R86" s="17"/>
      <c r="S86" s="17"/>
      <c r="T86" s="17"/>
      <c r="U86" s="17"/>
      <c r="V86" s="17"/>
      <c r="W86" s="17" t="n">
        <v>500</v>
      </c>
      <c r="X86" s="17"/>
      <c r="Y86" s="17"/>
      <c r="Z86" s="17"/>
      <c r="AA86" s="17" t="n">
        <v>3000</v>
      </c>
      <c r="AB86" s="17"/>
      <c r="AC86" s="17"/>
      <c r="AD86" s="17"/>
      <c r="AE86" s="17"/>
      <c r="AF86" s="17"/>
      <c r="AG86" s="17"/>
      <c r="AH86" s="17"/>
      <c r="AI86" s="17" t="n">
        <v>500</v>
      </c>
      <c r="AJ86" s="17"/>
      <c r="AK86" s="17"/>
      <c r="AL86" s="17"/>
      <c r="AM86" s="17"/>
      <c r="AN86" s="17"/>
      <c r="AO86" s="14"/>
      <c r="AP86" s="17"/>
      <c r="AQ86" s="19" t="s">
        <v>744</v>
      </c>
      <c r="AR86" s="17" t="s">
        <v>72</v>
      </c>
      <c r="AS86" s="20" t="n">
        <f aca="false">AVERAGE(AV86,BB86,BH86)</f>
        <v>0.0666666666666667</v>
      </c>
      <c r="AT86" s="21" t="n">
        <f aca="false">(AS86*1.3)</f>
        <v>0.0866666666666667</v>
      </c>
      <c r="AU86" s="48" t="s">
        <v>175</v>
      </c>
      <c r="AV86" s="20" t="n">
        <f aca="false">32 /500</f>
        <v>0.064</v>
      </c>
      <c r="AW86" s="23" t="s">
        <v>745</v>
      </c>
      <c r="AX86" s="45" t="s">
        <v>587</v>
      </c>
      <c r="AY86" s="17" t="s">
        <v>94</v>
      </c>
      <c r="AZ86" s="80" t="n">
        <v>44995</v>
      </c>
      <c r="BA86" s="44" t="s">
        <v>104</v>
      </c>
      <c r="BB86" s="20" t="n">
        <f aca="false">32 /500</f>
        <v>0.064</v>
      </c>
      <c r="BC86" s="23" t="s">
        <v>746</v>
      </c>
      <c r="BD86" s="45" t="s">
        <v>420</v>
      </c>
      <c r="BE86" s="17" t="s">
        <v>94</v>
      </c>
      <c r="BF86" s="80" t="n">
        <v>44995</v>
      </c>
      <c r="BG86" s="56" t="s">
        <v>555</v>
      </c>
      <c r="BH86" s="20" t="n">
        <f aca="false">36/500</f>
        <v>0.072</v>
      </c>
      <c r="BI86" s="23" t="s">
        <v>747</v>
      </c>
      <c r="BJ86" s="45" t="s">
        <v>503</v>
      </c>
      <c r="BK86" s="17" t="s">
        <v>731</v>
      </c>
      <c r="BL86" s="80" t="n">
        <v>44995</v>
      </c>
    </row>
    <row r="87" customFormat="false" ht="327.75" hidden="false" customHeight="false" outlineLevel="0" collapsed="false">
      <c r="A87" s="28" t="s">
        <v>34</v>
      </c>
      <c r="B87" s="28" t="s">
        <v>748</v>
      </c>
      <c r="C87" s="29" t="s">
        <v>749</v>
      </c>
      <c r="D87" s="30" t="s">
        <v>65</v>
      </c>
      <c r="E87" s="30" t="s">
        <v>66</v>
      </c>
      <c r="F87" s="30" t="n">
        <v>2</v>
      </c>
      <c r="G87" s="30" t="n">
        <v>2</v>
      </c>
      <c r="H87" s="31" t="n">
        <v>112.5</v>
      </c>
      <c r="I87" s="31" t="n">
        <v>225</v>
      </c>
      <c r="J87" s="32" t="s">
        <v>750</v>
      </c>
      <c r="K87" s="49" t="n">
        <v>86</v>
      </c>
      <c r="L87" s="33" t="s">
        <v>68</v>
      </c>
      <c r="M87" s="33" t="n">
        <v>21000000032</v>
      </c>
      <c r="N87" s="34" t="s">
        <v>751</v>
      </c>
      <c r="O87" s="33" t="s">
        <v>115</v>
      </c>
      <c r="P87" s="33" t="n">
        <f aca="false">SUM(R87:AP87)</f>
        <v>2</v>
      </c>
      <c r="Q87" s="33" t="s">
        <v>71</v>
      </c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0" t="n">
        <v>2</v>
      </c>
      <c r="AJ87" s="33"/>
      <c r="AK87" s="33"/>
      <c r="AL87" s="33"/>
      <c r="AM87" s="33"/>
      <c r="AN87" s="33"/>
      <c r="AO87" s="33"/>
      <c r="AP87" s="33"/>
      <c r="AQ87" s="35" t="s">
        <v>751</v>
      </c>
      <c r="AR87" s="33" t="s">
        <v>72</v>
      </c>
      <c r="AS87" s="36" t="n">
        <f aca="false">AVERAGE(AV87,BB87,BH87)</f>
        <v>181.41</v>
      </c>
      <c r="AT87" s="21" t="n">
        <f aca="false">(AS87*1.3)</f>
        <v>235.833</v>
      </c>
      <c r="AU87" s="84" t="s">
        <v>157</v>
      </c>
      <c r="AV87" s="36" t="n">
        <v>179.06</v>
      </c>
      <c r="AW87" s="38" t="s">
        <v>752</v>
      </c>
      <c r="AX87" s="49" t="s">
        <v>159</v>
      </c>
      <c r="AY87" s="33" t="s">
        <v>76</v>
      </c>
      <c r="AZ87" s="74" t="n">
        <v>44995</v>
      </c>
      <c r="BA87" s="85" t="s">
        <v>128</v>
      </c>
      <c r="BB87" s="36" t="n">
        <v>183.76</v>
      </c>
      <c r="BC87" s="38" t="s">
        <v>753</v>
      </c>
      <c r="BD87" s="49" t="s">
        <v>130</v>
      </c>
      <c r="BE87" s="33" t="s">
        <v>131</v>
      </c>
      <c r="BF87" s="74" t="n">
        <v>44996</v>
      </c>
      <c r="BG87" s="11"/>
      <c r="BH87" s="36"/>
      <c r="BI87" s="33"/>
      <c r="BJ87" s="33"/>
      <c r="BK87" s="33"/>
      <c r="BL87" s="33"/>
    </row>
    <row r="88" customFormat="false" ht="361.5" hidden="false" customHeight="false" outlineLevel="0" collapsed="false">
      <c r="A88" s="12" t="s">
        <v>18</v>
      </c>
      <c r="B88" s="12" t="s">
        <v>754</v>
      </c>
      <c r="C88" s="13" t="s">
        <v>755</v>
      </c>
      <c r="D88" s="14" t="s">
        <v>65</v>
      </c>
      <c r="E88" s="14" t="s">
        <v>66</v>
      </c>
      <c r="F88" s="14" t="n">
        <v>1</v>
      </c>
      <c r="G88" s="14" t="n">
        <v>1</v>
      </c>
      <c r="H88" s="15" t="n">
        <v>39.13</v>
      </c>
      <c r="I88" s="15" t="n">
        <v>39.13</v>
      </c>
      <c r="J88" s="23" t="s">
        <v>756</v>
      </c>
      <c r="K88" s="45" t="n">
        <v>87</v>
      </c>
      <c r="L88" s="17" t="s">
        <v>68</v>
      </c>
      <c r="M88" s="17" t="n">
        <v>21000000033</v>
      </c>
      <c r="N88" s="18" t="s">
        <v>757</v>
      </c>
      <c r="O88" s="17" t="s">
        <v>703</v>
      </c>
      <c r="P88" s="17" t="n">
        <f aca="false">SUM(R88:AP88)</f>
        <v>5</v>
      </c>
      <c r="Q88" s="17" t="s">
        <v>71</v>
      </c>
      <c r="R88" s="17"/>
      <c r="S88" s="17" t="n">
        <v>1</v>
      </c>
      <c r="T88" s="17"/>
      <c r="U88" s="17"/>
      <c r="V88" s="17"/>
      <c r="W88" s="17"/>
      <c r="X88" s="17"/>
      <c r="Y88" s="17"/>
      <c r="Z88" s="17"/>
      <c r="AA88" s="17" t="n">
        <v>2</v>
      </c>
      <c r="AB88" s="17"/>
      <c r="AC88" s="17"/>
      <c r="AD88" s="17"/>
      <c r="AE88" s="17"/>
      <c r="AF88" s="17"/>
      <c r="AG88" s="17"/>
      <c r="AH88" s="17"/>
      <c r="AI88" s="17" t="n">
        <v>1</v>
      </c>
      <c r="AJ88" s="17"/>
      <c r="AK88" s="17"/>
      <c r="AL88" s="17"/>
      <c r="AM88" s="17"/>
      <c r="AN88" s="17"/>
      <c r="AO88" s="17" t="n">
        <v>1</v>
      </c>
      <c r="AP88" s="17"/>
      <c r="AQ88" s="19" t="s">
        <v>757</v>
      </c>
      <c r="AR88" s="17" t="s">
        <v>236</v>
      </c>
      <c r="AS88" s="20" t="n">
        <f aca="false">AVERAGE(AV88,BB88,BH88)</f>
        <v>51.4566666666667</v>
      </c>
      <c r="AT88" s="21" t="n">
        <f aca="false">(AS88*1.3)</f>
        <v>66.8936666666667</v>
      </c>
      <c r="AU88" s="48" t="s">
        <v>128</v>
      </c>
      <c r="AV88" s="20" t="n">
        <v>44.55</v>
      </c>
      <c r="AW88" s="16" t="s">
        <v>758</v>
      </c>
      <c r="AX88" s="45" t="s">
        <v>130</v>
      </c>
      <c r="AY88" s="17" t="s">
        <v>131</v>
      </c>
      <c r="AZ88" s="80" t="n">
        <v>44998</v>
      </c>
      <c r="BA88" s="44" t="s">
        <v>107</v>
      </c>
      <c r="BB88" s="20" t="n">
        <v>49.82</v>
      </c>
      <c r="BC88" s="23" t="s">
        <v>759</v>
      </c>
      <c r="BD88" s="45" t="s">
        <v>109</v>
      </c>
      <c r="BE88" s="17" t="s">
        <v>110</v>
      </c>
      <c r="BF88" s="80" t="n">
        <v>44998</v>
      </c>
      <c r="BG88" s="56" t="s">
        <v>175</v>
      </c>
      <c r="BH88" s="20" t="n">
        <v>60</v>
      </c>
      <c r="BI88" s="16" t="s">
        <v>760</v>
      </c>
      <c r="BJ88" s="45" t="s">
        <v>587</v>
      </c>
      <c r="BK88" s="17" t="s">
        <v>94</v>
      </c>
      <c r="BL88" s="80" t="n">
        <v>44998</v>
      </c>
    </row>
    <row r="89" customFormat="false" ht="451.5" hidden="false" customHeight="false" outlineLevel="0" collapsed="false">
      <c r="A89" s="28" t="s">
        <v>34</v>
      </c>
      <c r="B89" s="28" t="s">
        <v>761</v>
      </c>
      <c r="C89" s="29" t="s">
        <v>762</v>
      </c>
      <c r="D89" s="30" t="s">
        <v>65</v>
      </c>
      <c r="E89" s="30" t="s">
        <v>66</v>
      </c>
      <c r="F89" s="30" t="n">
        <v>1</v>
      </c>
      <c r="G89" s="30" t="n">
        <v>250</v>
      </c>
      <c r="H89" s="31" t="n">
        <v>250</v>
      </c>
      <c r="I89" s="31" t="n">
        <v>250</v>
      </c>
      <c r="J89" s="32" t="s">
        <v>763</v>
      </c>
      <c r="K89" s="49" t="n">
        <v>88</v>
      </c>
      <c r="L89" s="33" t="s">
        <v>68</v>
      </c>
      <c r="M89" s="33" t="n">
        <v>21000000567</v>
      </c>
      <c r="N89" s="34" t="s">
        <v>764</v>
      </c>
      <c r="O89" s="33" t="s">
        <v>70</v>
      </c>
      <c r="P89" s="33" t="n">
        <f aca="false">SUM(R89:AP89)</f>
        <v>250</v>
      </c>
      <c r="Q89" s="33" t="s">
        <v>71</v>
      </c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0" t="n">
        <v>250</v>
      </c>
      <c r="AJ89" s="33"/>
      <c r="AK89" s="33"/>
      <c r="AL89" s="33"/>
      <c r="AM89" s="33"/>
      <c r="AN89" s="33"/>
      <c r="AO89" s="33"/>
      <c r="AP89" s="33"/>
      <c r="AQ89" s="35" t="s">
        <v>764</v>
      </c>
      <c r="AR89" s="33" t="s">
        <v>236</v>
      </c>
      <c r="AS89" s="36" t="n">
        <f aca="false">AVERAGE(AV89,BB89,BH89)</f>
        <v>0.72328</v>
      </c>
      <c r="AT89" s="21" t="n">
        <f aca="false">(AS89*1.3)</f>
        <v>0.940264</v>
      </c>
      <c r="AU89" s="48" t="s">
        <v>128</v>
      </c>
      <c r="AV89" s="36" t="n">
        <f aca="false">189.39/250</f>
        <v>0.75756</v>
      </c>
      <c r="AW89" s="32" t="s">
        <v>765</v>
      </c>
      <c r="AX89" s="49" t="s">
        <v>130</v>
      </c>
      <c r="AY89" s="33" t="s">
        <v>131</v>
      </c>
      <c r="AZ89" s="74" t="n">
        <v>44998</v>
      </c>
      <c r="BA89" s="44" t="s">
        <v>175</v>
      </c>
      <c r="BB89" s="36" t="n">
        <f aca="false">392/500</f>
        <v>0.784</v>
      </c>
      <c r="BC89" s="32" t="s">
        <v>766</v>
      </c>
      <c r="BD89" s="49" t="s">
        <v>587</v>
      </c>
      <c r="BE89" s="33" t="s">
        <v>767</v>
      </c>
      <c r="BF89" s="74" t="n">
        <v>44998</v>
      </c>
      <c r="BG89" s="56" t="s">
        <v>157</v>
      </c>
      <c r="BH89" s="36" t="n">
        <f aca="false">314.14/500</f>
        <v>0.62828</v>
      </c>
      <c r="BI89" s="32" t="s">
        <v>768</v>
      </c>
      <c r="BJ89" s="49" t="s">
        <v>159</v>
      </c>
      <c r="BK89" s="33" t="s">
        <v>76</v>
      </c>
      <c r="BL89" s="74" t="n">
        <v>44998</v>
      </c>
    </row>
    <row r="90" customFormat="false" ht="440.25" hidden="false" customHeight="false" outlineLevel="0" collapsed="false">
      <c r="A90" s="12" t="s">
        <v>25</v>
      </c>
      <c r="B90" s="12" t="s">
        <v>769</v>
      </c>
      <c r="C90" s="13" t="n">
        <v>400499</v>
      </c>
      <c r="D90" s="14" t="s">
        <v>65</v>
      </c>
      <c r="E90" s="14" t="s">
        <v>66</v>
      </c>
      <c r="F90" s="14" t="n">
        <v>1</v>
      </c>
      <c r="G90" s="14" t="n">
        <v>300</v>
      </c>
      <c r="H90" s="15" t="n">
        <v>320</v>
      </c>
      <c r="I90" s="15" t="n">
        <v>320</v>
      </c>
      <c r="J90" s="16" t="s">
        <v>770</v>
      </c>
      <c r="K90" s="45" t="n">
        <v>89</v>
      </c>
      <c r="L90" s="17" t="s">
        <v>68</v>
      </c>
      <c r="M90" s="17" t="n">
        <v>21000000034</v>
      </c>
      <c r="N90" s="17" t="s">
        <v>771</v>
      </c>
      <c r="O90" s="17" t="s">
        <v>70</v>
      </c>
      <c r="P90" s="17" t="n">
        <f aca="false">SUM(R90:AP90)</f>
        <v>300</v>
      </c>
      <c r="Q90" s="17" t="s">
        <v>71</v>
      </c>
      <c r="R90" s="17"/>
      <c r="S90" s="17"/>
      <c r="T90" s="17"/>
      <c r="U90" s="17"/>
      <c r="V90" s="17"/>
      <c r="W90" s="17"/>
      <c r="X90" s="17"/>
      <c r="Y90" s="17"/>
      <c r="Z90" s="17" t="n">
        <v>300</v>
      </c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9" t="s">
        <v>771</v>
      </c>
      <c r="AR90" s="17" t="s">
        <v>236</v>
      </c>
      <c r="AS90" s="20" t="n">
        <f aca="false">AVERAGE(AV90,BB90,BH90)</f>
        <v>1.0261</v>
      </c>
      <c r="AT90" s="21" t="n">
        <f aca="false">(AS90*1.3)</f>
        <v>1.33393</v>
      </c>
      <c r="AU90" s="48" t="s">
        <v>107</v>
      </c>
      <c r="AV90" s="20" t="n">
        <f aca="false">120.16/100</f>
        <v>1.2016</v>
      </c>
      <c r="AW90" s="23" t="s">
        <v>772</v>
      </c>
      <c r="AX90" s="45" t="s">
        <v>109</v>
      </c>
      <c r="AY90" s="17" t="s">
        <v>110</v>
      </c>
      <c r="AZ90" s="80" t="n">
        <v>44998</v>
      </c>
      <c r="BA90" s="44" t="s">
        <v>128</v>
      </c>
      <c r="BB90" s="20" t="n">
        <f aca="false">92.67 /100</f>
        <v>0.9267</v>
      </c>
      <c r="BC90" s="23" t="s">
        <v>773</v>
      </c>
      <c r="BD90" s="45" t="s">
        <v>130</v>
      </c>
      <c r="BE90" s="17" t="s">
        <v>131</v>
      </c>
      <c r="BF90" s="80" t="n">
        <v>44998</v>
      </c>
      <c r="BG90" s="56" t="s">
        <v>175</v>
      </c>
      <c r="BH90" s="20" t="n">
        <f aca="false">95/100</f>
        <v>0.95</v>
      </c>
      <c r="BI90" s="23" t="s">
        <v>774</v>
      </c>
      <c r="BJ90" s="45" t="s">
        <v>587</v>
      </c>
      <c r="BK90" s="17" t="s">
        <v>98</v>
      </c>
      <c r="BL90" s="80" t="n">
        <v>44998</v>
      </c>
    </row>
    <row r="91" customFormat="false" ht="395.25" hidden="false" customHeight="false" outlineLevel="0" collapsed="false">
      <c r="A91" s="28" t="s">
        <v>22</v>
      </c>
      <c r="B91" s="28" t="s">
        <v>775</v>
      </c>
      <c r="C91" s="29" t="s">
        <v>776</v>
      </c>
      <c r="D91" s="30" t="s">
        <v>65</v>
      </c>
      <c r="E91" s="30" t="s">
        <v>66</v>
      </c>
      <c r="F91" s="30" t="n">
        <v>504</v>
      </c>
      <c r="G91" s="30" t="n">
        <v>504</v>
      </c>
      <c r="H91" s="31" t="n">
        <v>0.3</v>
      </c>
      <c r="I91" s="31" t="n">
        <v>151.2</v>
      </c>
      <c r="J91" s="32" t="s">
        <v>777</v>
      </c>
      <c r="K91" s="49" t="n">
        <v>90</v>
      </c>
      <c r="L91" s="33" t="s">
        <v>68</v>
      </c>
      <c r="M91" s="33" t="n">
        <v>21000000036</v>
      </c>
      <c r="N91" s="34" t="s">
        <v>778</v>
      </c>
      <c r="O91" s="33" t="s">
        <v>70</v>
      </c>
      <c r="P91" s="33" t="n">
        <f aca="false">SUM(R91:AP91)</f>
        <v>750</v>
      </c>
      <c r="Q91" s="33" t="s">
        <v>71</v>
      </c>
      <c r="R91" s="33"/>
      <c r="S91" s="33"/>
      <c r="T91" s="33"/>
      <c r="U91" s="33"/>
      <c r="V91" s="33"/>
      <c r="W91" s="33" t="n">
        <v>500</v>
      </c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0" t="n">
        <v>250</v>
      </c>
      <c r="AJ91" s="33"/>
      <c r="AK91" s="33"/>
      <c r="AL91" s="33"/>
      <c r="AM91" s="33"/>
      <c r="AN91" s="33"/>
      <c r="AO91" s="33"/>
      <c r="AP91" s="33"/>
      <c r="AQ91" s="35" t="s">
        <v>778</v>
      </c>
      <c r="AR91" s="33" t="s">
        <v>236</v>
      </c>
      <c r="AS91" s="36" t="n">
        <f aca="false">AVERAGE(AV91,BB91,BH91)</f>
        <v>2.8948</v>
      </c>
      <c r="AT91" s="21" t="n">
        <f aca="false">(AS91*1.3)</f>
        <v>3.76324</v>
      </c>
      <c r="AU91" s="48" t="s">
        <v>128</v>
      </c>
      <c r="AV91" s="36" t="n">
        <f aca="false">289.48 /100</f>
        <v>2.8948</v>
      </c>
      <c r="AW91" s="38" t="s">
        <v>779</v>
      </c>
      <c r="AX91" s="49" t="s">
        <v>130</v>
      </c>
      <c r="AY91" s="33" t="s">
        <v>131</v>
      </c>
      <c r="AZ91" s="74" t="n">
        <v>44998</v>
      </c>
      <c r="BA91" s="10"/>
      <c r="BB91" s="36"/>
      <c r="BC91" s="33"/>
      <c r="BD91" s="33"/>
      <c r="BE91" s="33"/>
      <c r="BF91" s="33"/>
      <c r="BG91" s="11"/>
      <c r="BH91" s="36"/>
      <c r="BI91" s="33"/>
      <c r="BJ91" s="33"/>
      <c r="BK91" s="33"/>
      <c r="BL91" s="33"/>
    </row>
    <row r="92" customFormat="false" ht="440.25" hidden="false" customHeight="false" outlineLevel="0" collapsed="false">
      <c r="A92" s="12" t="s">
        <v>25</v>
      </c>
      <c r="B92" s="12" t="s">
        <v>780</v>
      </c>
      <c r="C92" s="13" t="s">
        <v>781</v>
      </c>
      <c r="D92" s="14" t="s">
        <v>65</v>
      </c>
      <c r="E92" s="14" t="s">
        <v>66</v>
      </c>
      <c r="F92" s="14" t="n">
        <v>500</v>
      </c>
      <c r="G92" s="14" t="n">
        <v>500</v>
      </c>
      <c r="H92" s="15" t="n">
        <v>0.2</v>
      </c>
      <c r="I92" s="15" t="n">
        <v>100</v>
      </c>
      <c r="J92" s="23" t="s">
        <v>782</v>
      </c>
      <c r="K92" s="45" t="n">
        <v>91</v>
      </c>
      <c r="L92" s="17" t="s">
        <v>68</v>
      </c>
      <c r="M92" s="17" t="n">
        <v>21000000556</v>
      </c>
      <c r="N92" s="18" t="s">
        <v>783</v>
      </c>
      <c r="O92" s="17" t="s">
        <v>70</v>
      </c>
      <c r="P92" s="17" t="n">
        <f aca="false">SUM(R92:AP92)</f>
        <v>500</v>
      </c>
      <c r="Q92" s="17" t="s">
        <v>71</v>
      </c>
      <c r="R92" s="17"/>
      <c r="S92" s="17"/>
      <c r="T92" s="17"/>
      <c r="U92" s="17"/>
      <c r="V92" s="17"/>
      <c r="W92" s="17"/>
      <c r="X92" s="17"/>
      <c r="Y92" s="17"/>
      <c r="Z92" s="17" t="n">
        <v>500</v>
      </c>
      <c r="AA92" s="17"/>
      <c r="AB92" s="17"/>
      <c r="AC92" s="17"/>
      <c r="AD92" s="17"/>
      <c r="AE92" s="17"/>
      <c r="AF92" s="17"/>
      <c r="AG92" s="17"/>
      <c r="AH92" s="17"/>
      <c r="AI92" s="14"/>
      <c r="AJ92" s="17"/>
      <c r="AK92" s="17"/>
      <c r="AL92" s="17"/>
      <c r="AM92" s="17"/>
      <c r="AN92" s="17"/>
      <c r="AO92" s="17"/>
      <c r="AP92" s="17"/>
      <c r="AQ92" s="19" t="s">
        <v>783</v>
      </c>
      <c r="AR92" s="17" t="s">
        <v>236</v>
      </c>
      <c r="AS92" s="20" t="n">
        <f aca="false">AVERAGE(AV92,BB92,BH92)</f>
        <v>0.2024</v>
      </c>
      <c r="AT92" s="21" t="n">
        <f aca="false">(AS92*1.3)</f>
        <v>0.26312</v>
      </c>
      <c r="AU92" s="48" t="s">
        <v>107</v>
      </c>
      <c r="AV92" s="20" t="n">
        <f aca="false">51.46 /250</f>
        <v>0.20584</v>
      </c>
      <c r="AW92" s="16" t="s">
        <v>784</v>
      </c>
      <c r="AX92" s="45" t="s">
        <v>109</v>
      </c>
      <c r="AY92" s="17" t="s">
        <v>110</v>
      </c>
      <c r="AZ92" s="80" t="n">
        <v>44998</v>
      </c>
      <c r="BA92" s="44" t="s">
        <v>107</v>
      </c>
      <c r="BB92" s="20" t="n">
        <f aca="false">51.46 /250</f>
        <v>0.20584</v>
      </c>
      <c r="BC92" s="16" t="s">
        <v>785</v>
      </c>
      <c r="BD92" s="45" t="s">
        <v>109</v>
      </c>
      <c r="BE92" s="17" t="s">
        <v>110</v>
      </c>
      <c r="BF92" s="80" t="n">
        <v>44998</v>
      </c>
      <c r="BG92" s="56" t="s">
        <v>104</v>
      </c>
      <c r="BH92" s="20" t="n">
        <f aca="false">48.88/250</f>
        <v>0.19552</v>
      </c>
      <c r="BI92" s="23" t="s">
        <v>786</v>
      </c>
      <c r="BJ92" s="45" t="s">
        <v>420</v>
      </c>
      <c r="BK92" s="17" t="s">
        <v>110</v>
      </c>
      <c r="BL92" s="80" t="n">
        <v>44998</v>
      </c>
    </row>
    <row r="93" customFormat="false" ht="485.25" hidden="false" customHeight="false" outlineLevel="0" collapsed="false">
      <c r="A93" s="28" t="s">
        <v>22</v>
      </c>
      <c r="B93" s="28" t="s">
        <v>787</v>
      </c>
      <c r="C93" s="29" t="s">
        <v>788</v>
      </c>
      <c r="D93" s="30" t="s">
        <v>65</v>
      </c>
      <c r="E93" s="30" t="s">
        <v>66</v>
      </c>
      <c r="F93" s="30" t="n">
        <v>4</v>
      </c>
      <c r="G93" s="30" t="n">
        <v>2000</v>
      </c>
      <c r="H93" s="31" t="n">
        <v>94.42</v>
      </c>
      <c r="I93" s="31" t="n">
        <v>377.68</v>
      </c>
      <c r="J93" s="32" t="s">
        <v>789</v>
      </c>
      <c r="K93" s="49" t="n">
        <v>92</v>
      </c>
      <c r="L93" s="33" t="s">
        <v>68</v>
      </c>
      <c r="M93" s="33" t="n">
        <v>21000000038</v>
      </c>
      <c r="N93" s="34" t="s">
        <v>790</v>
      </c>
      <c r="O93" s="33" t="s">
        <v>70</v>
      </c>
      <c r="P93" s="33" t="n">
        <f aca="false">SUM(R93:AP93)</f>
        <v>2550</v>
      </c>
      <c r="Q93" s="33" t="s">
        <v>71</v>
      </c>
      <c r="R93" s="33"/>
      <c r="S93" s="33"/>
      <c r="T93" s="33"/>
      <c r="U93" s="33"/>
      <c r="V93" s="33"/>
      <c r="W93" s="33" t="n">
        <v>2000</v>
      </c>
      <c r="X93" s="33"/>
      <c r="Y93" s="33"/>
      <c r="Z93" s="33"/>
      <c r="AA93" s="73"/>
      <c r="AB93" s="33" t="n">
        <v>300</v>
      </c>
      <c r="AC93" s="33"/>
      <c r="AD93" s="33"/>
      <c r="AE93" s="33"/>
      <c r="AF93" s="33"/>
      <c r="AG93" s="33"/>
      <c r="AH93" s="33"/>
      <c r="AI93" s="33" t="n">
        <v>250</v>
      </c>
      <c r="AJ93" s="33"/>
      <c r="AK93" s="33"/>
      <c r="AL93" s="33"/>
      <c r="AM93" s="33"/>
      <c r="AN93" s="33"/>
      <c r="AO93" s="33"/>
      <c r="AP93" s="33"/>
      <c r="AQ93" s="35" t="s">
        <v>790</v>
      </c>
      <c r="AR93" s="33" t="s">
        <v>236</v>
      </c>
      <c r="AS93" s="36" t="n">
        <f aca="false">AVERAGE(AV93,BB93,BH93)</f>
        <v>0.14759</v>
      </c>
      <c r="AT93" s="21" t="n">
        <f aca="false">(AS93*1.3)</f>
        <v>0.191867</v>
      </c>
      <c r="AU93" s="48" t="s">
        <v>128</v>
      </c>
      <c r="AV93" s="36" t="n">
        <f aca="false">58.85 /500</f>
        <v>0.1177</v>
      </c>
      <c r="AW93" s="38" t="s">
        <v>791</v>
      </c>
      <c r="AX93" s="49" t="s">
        <v>130</v>
      </c>
      <c r="AY93" s="33" t="s">
        <v>131</v>
      </c>
      <c r="AZ93" s="74" t="n">
        <v>44998</v>
      </c>
      <c r="BA93" s="44" t="s">
        <v>107</v>
      </c>
      <c r="BB93" s="36" t="n">
        <f aca="false">88.74 /500</f>
        <v>0.17748</v>
      </c>
      <c r="BC93" s="38" t="s">
        <v>792</v>
      </c>
      <c r="BD93" s="49" t="s">
        <v>109</v>
      </c>
      <c r="BE93" s="33" t="s">
        <v>110</v>
      </c>
      <c r="BF93" s="74" t="n">
        <v>44998</v>
      </c>
      <c r="BG93" s="11"/>
      <c r="BH93" s="36"/>
      <c r="BI93" s="33"/>
      <c r="BJ93" s="33"/>
      <c r="BK93" s="33"/>
      <c r="BL93" s="33"/>
    </row>
    <row r="94" customFormat="false" ht="406.5" hidden="false" customHeight="false" outlineLevel="0" collapsed="false">
      <c r="A94" s="12" t="s">
        <v>34</v>
      </c>
      <c r="B94" s="12" t="s">
        <v>793</v>
      </c>
      <c r="C94" s="13" t="s">
        <v>794</v>
      </c>
      <c r="D94" s="14" t="s">
        <v>65</v>
      </c>
      <c r="E94" s="14" t="s">
        <v>66</v>
      </c>
      <c r="F94" s="14" t="n">
        <v>250</v>
      </c>
      <c r="G94" s="14" t="n">
        <v>250</v>
      </c>
      <c r="H94" s="15" t="n">
        <v>1.45</v>
      </c>
      <c r="I94" s="15" t="n">
        <v>362.5</v>
      </c>
      <c r="J94" s="23" t="s">
        <v>795</v>
      </c>
      <c r="K94" s="45" t="n">
        <v>93</v>
      </c>
      <c r="L94" s="17" t="s">
        <v>68</v>
      </c>
      <c r="M94" s="17" t="n">
        <v>21000000390</v>
      </c>
      <c r="N94" s="18" t="s">
        <v>796</v>
      </c>
      <c r="O94" s="17" t="s">
        <v>70</v>
      </c>
      <c r="P94" s="17" t="n">
        <f aca="false">SUM(R94:AP94)</f>
        <v>250</v>
      </c>
      <c r="Q94" s="17" t="s">
        <v>71</v>
      </c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 t="n">
        <v>250</v>
      </c>
      <c r="AJ94" s="17"/>
      <c r="AK94" s="17"/>
      <c r="AL94" s="17"/>
      <c r="AM94" s="17"/>
      <c r="AN94" s="17"/>
      <c r="AO94" s="17"/>
      <c r="AP94" s="17"/>
      <c r="AQ94" s="19" t="s">
        <v>796</v>
      </c>
      <c r="AR94" s="17"/>
      <c r="AS94" s="20" t="e">
        <f aca="false">AVERAGE(AV94,BB94,BH94)</f>
        <v>#DIV/0!</v>
      </c>
      <c r="AT94" s="47" t="e">
        <f aca="false">(AS94*1.3)</f>
        <v>#DIV/0!</v>
      </c>
      <c r="AU94" s="7"/>
      <c r="AV94" s="20"/>
      <c r="AW94" s="17"/>
      <c r="AX94" s="17"/>
      <c r="AY94" s="17"/>
      <c r="AZ94" s="17"/>
      <c r="BA94" s="10"/>
      <c r="BB94" s="20"/>
      <c r="BC94" s="17"/>
      <c r="BD94" s="17"/>
      <c r="BE94" s="17"/>
      <c r="BF94" s="17"/>
      <c r="BG94" s="11"/>
      <c r="BH94" s="20"/>
      <c r="BI94" s="17"/>
      <c r="BJ94" s="17"/>
      <c r="BK94" s="17"/>
      <c r="BL94" s="17"/>
    </row>
    <row r="95" customFormat="false" ht="462.75" hidden="false" customHeight="false" outlineLevel="0" collapsed="false">
      <c r="A95" s="28" t="s">
        <v>22</v>
      </c>
      <c r="B95" s="28" t="s">
        <v>797</v>
      </c>
      <c r="C95" s="29" t="s">
        <v>798</v>
      </c>
      <c r="D95" s="30" t="s">
        <v>65</v>
      </c>
      <c r="E95" s="30" t="s">
        <v>66</v>
      </c>
      <c r="F95" s="30" t="n">
        <v>500</v>
      </c>
      <c r="G95" s="30" t="n">
        <v>500</v>
      </c>
      <c r="H95" s="31" t="n">
        <v>0.29</v>
      </c>
      <c r="I95" s="31" t="n">
        <v>145</v>
      </c>
      <c r="J95" s="32" t="s">
        <v>799</v>
      </c>
      <c r="K95" s="49" t="n">
        <v>94</v>
      </c>
      <c r="L95" s="33" t="s">
        <v>68</v>
      </c>
      <c r="M95" s="33" t="n">
        <v>21000000039</v>
      </c>
      <c r="N95" s="34" t="s">
        <v>800</v>
      </c>
      <c r="O95" s="33" t="s">
        <v>70</v>
      </c>
      <c r="P95" s="33" t="n">
        <f aca="false">SUM(R95:AP95)</f>
        <v>1500</v>
      </c>
      <c r="Q95" s="33" t="s">
        <v>71</v>
      </c>
      <c r="R95" s="33"/>
      <c r="S95" s="33"/>
      <c r="T95" s="33"/>
      <c r="U95" s="33"/>
      <c r="V95" s="33"/>
      <c r="W95" s="33" t="n">
        <v>500</v>
      </c>
      <c r="X95" s="33"/>
      <c r="Y95" s="33"/>
      <c r="Z95" s="33"/>
      <c r="AA95" s="33" t="n">
        <v>1000</v>
      </c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5" t="s">
        <v>800</v>
      </c>
      <c r="AR95" s="33" t="s">
        <v>236</v>
      </c>
      <c r="AS95" s="36" t="n">
        <f aca="false">AVERAGE(AV95,BB95,BH95)</f>
        <v>0.0567533333333333</v>
      </c>
      <c r="AT95" s="21" t="n">
        <f aca="false">(AS95*1.3)</f>
        <v>0.0737793333333333</v>
      </c>
      <c r="AU95" s="48" t="s">
        <v>107</v>
      </c>
      <c r="AV95" s="36" t="n">
        <f aca="false">30.05/500</f>
        <v>0.0601</v>
      </c>
      <c r="AW95" s="32" t="s">
        <v>801</v>
      </c>
      <c r="AX95" s="49" t="s">
        <v>109</v>
      </c>
      <c r="AY95" s="33" t="s">
        <v>110</v>
      </c>
      <c r="AZ95" s="74" t="n">
        <v>44998</v>
      </c>
      <c r="BA95" s="44" t="s">
        <v>128</v>
      </c>
      <c r="BB95" s="36" t="n">
        <f aca="false">31.93 /500</f>
        <v>0.06386</v>
      </c>
      <c r="BC95" s="38" t="s">
        <v>802</v>
      </c>
      <c r="BD95" s="49" t="s">
        <v>411</v>
      </c>
      <c r="BE95" s="33" t="s">
        <v>131</v>
      </c>
      <c r="BF95" s="74" t="n">
        <v>44998</v>
      </c>
      <c r="BG95" s="11" t="s">
        <v>803</v>
      </c>
      <c r="BH95" s="36" t="n">
        <f aca="false">46.3/1000</f>
        <v>0.0463</v>
      </c>
      <c r="BI95" s="38" t="s">
        <v>804</v>
      </c>
      <c r="BJ95" s="33" t="s">
        <v>805</v>
      </c>
      <c r="BK95" s="33" t="s">
        <v>110</v>
      </c>
      <c r="BL95" s="74" t="n">
        <v>44998</v>
      </c>
    </row>
    <row r="96" customFormat="false" ht="417.75" hidden="false" customHeight="false" outlineLevel="0" collapsed="false">
      <c r="A96" s="12" t="s">
        <v>25</v>
      </c>
      <c r="B96" s="12" t="s">
        <v>806</v>
      </c>
      <c r="C96" s="13" t="n">
        <v>454847</v>
      </c>
      <c r="D96" s="14" t="s">
        <v>65</v>
      </c>
      <c r="E96" s="14" t="s">
        <v>66</v>
      </c>
      <c r="F96" s="14" t="n">
        <v>1</v>
      </c>
      <c r="G96" s="14" t="n">
        <v>500</v>
      </c>
      <c r="H96" s="15" t="n">
        <v>250</v>
      </c>
      <c r="I96" s="15" t="n">
        <v>250</v>
      </c>
      <c r="J96" s="23" t="s">
        <v>807</v>
      </c>
      <c r="K96" s="45" t="n">
        <v>95</v>
      </c>
      <c r="L96" s="17" t="s">
        <v>68</v>
      </c>
      <c r="M96" s="17" t="n">
        <v>21000000313</v>
      </c>
      <c r="N96" s="18" t="s">
        <v>808</v>
      </c>
      <c r="O96" s="17" t="s">
        <v>70</v>
      </c>
      <c r="P96" s="17" t="n">
        <f aca="false">SUM(R96:AP96)</f>
        <v>500</v>
      </c>
      <c r="Q96" s="17" t="s">
        <v>71</v>
      </c>
      <c r="R96" s="17"/>
      <c r="S96" s="17"/>
      <c r="T96" s="17"/>
      <c r="U96" s="17"/>
      <c r="V96" s="17"/>
      <c r="W96" s="17"/>
      <c r="X96" s="17"/>
      <c r="Y96" s="17"/>
      <c r="Z96" s="17" t="n">
        <v>500</v>
      </c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9" t="s">
        <v>808</v>
      </c>
      <c r="AR96" s="17" t="s">
        <v>236</v>
      </c>
      <c r="AS96" s="20" t="n">
        <f aca="false">AVERAGE(AV96,BB96,BH96)</f>
        <v>0.431293333333333</v>
      </c>
      <c r="AT96" s="21" t="n">
        <f aca="false">(AS96*1.3)</f>
        <v>0.560681333333333</v>
      </c>
      <c r="AU96" s="48" t="s">
        <v>555</v>
      </c>
      <c r="AV96" s="20" t="n">
        <f aca="false">234/500</f>
        <v>0.468</v>
      </c>
      <c r="AW96" s="23" t="s">
        <v>809</v>
      </c>
      <c r="AX96" s="45" t="s">
        <v>503</v>
      </c>
      <c r="AY96" s="17" t="s">
        <v>731</v>
      </c>
      <c r="AZ96" s="80" t="n">
        <v>44998</v>
      </c>
      <c r="BA96" s="44" t="s">
        <v>128</v>
      </c>
      <c r="BB96" s="20" t="n">
        <f aca="false">196.28 /500</f>
        <v>0.39256</v>
      </c>
      <c r="BC96" s="16" t="s">
        <v>810</v>
      </c>
      <c r="BD96" s="45" t="s">
        <v>411</v>
      </c>
      <c r="BE96" s="17" t="s">
        <v>131</v>
      </c>
      <c r="BF96" s="80" t="n">
        <v>44998</v>
      </c>
      <c r="BG96" s="56" t="s">
        <v>107</v>
      </c>
      <c r="BH96" s="17" t="n">
        <f aca="false">216.66/500</f>
        <v>0.43332</v>
      </c>
      <c r="BI96" s="86" t="s">
        <v>811</v>
      </c>
      <c r="BJ96" s="45" t="s">
        <v>109</v>
      </c>
      <c r="BK96" s="17" t="s">
        <v>731</v>
      </c>
      <c r="BL96" s="80" t="n">
        <v>44998</v>
      </c>
    </row>
    <row r="97" customFormat="false" ht="440.25" hidden="false" customHeight="false" outlineLevel="0" collapsed="false">
      <c r="A97" s="28" t="s">
        <v>18</v>
      </c>
      <c r="B97" s="28" t="s">
        <v>812</v>
      </c>
      <c r="C97" s="29" t="n">
        <v>352777</v>
      </c>
      <c r="D97" s="30" t="s">
        <v>65</v>
      </c>
      <c r="E97" s="30" t="s">
        <v>66</v>
      </c>
      <c r="F97" s="30" t="n">
        <v>3000</v>
      </c>
      <c r="G97" s="30" t="n">
        <v>3000</v>
      </c>
      <c r="H97" s="31" t="n">
        <v>0.07</v>
      </c>
      <c r="I97" s="31" t="n">
        <v>210</v>
      </c>
      <c r="J97" s="32" t="s">
        <v>813</v>
      </c>
      <c r="K97" s="49" t="n">
        <v>96</v>
      </c>
      <c r="L97" s="33" t="s">
        <v>68</v>
      </c>
      <c r="M97" s="33" t="n">
        <v>21000000040</v>
      </c>
      <c r="N97" s="34" t="s">
        <v>814</v>
      </c>
      <c r="O97" s="33" t="s">
        <v>70</v>
      </c>
      <c r="P97" s="33" t="n">
        <f aca="false">SUM(R97:AP97)</f>
        <v>7000</v>
      </c>
      <c r="Q97" s="33" t="s">
        <v>71</v>
      </c>
      <c r="R97" s="33"/>
      <c r="S97" s="33" t="n">
        <v>3000</v>
      </c>
      <c r="T97" s="33" t="n">
        <v>4000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0"/>
      <c r="AP97" s="33"/>
      <c r="AQ97" s="35" t="s">
        <v>814</v>
      </c>
      <c r="AR97" s="33" t="s">
        <v>236</v>
      </c>
      <c r="AS97" s="36" t="n">
        <f aca="false">AVERAGE(AV97,BB97,BH97)</f>
        <v>0.0672466666666667</v>
      </c>
      <c r="AT97" s="21" t="n">
        <f aca="false">(AS97*1.3)</f>
        <v>0.0874206666666667</v>
      </c>
      <c r="AU97" s="48" t="s">
        <v>128</v>
      </c>
      <c r="AV97" s="36" t="n">
        <f aca="false">39.3 /500</f>
        <v>0.0786</v>
      </c>
      <c r="AW97" s="38" t="s">
        <v>815</v>
      </c>
      <c r="AX97" s="49" t="s">
        <v>411</v>
      </c>
      <c r="AY97" s="33" t="s">
        <v>253</v>
      </c>
      <c r="AZ97" s="74" t="n">
        <v>44998</v>
      </c>
      <c r="BA97" s="44" t="s">
        <v>816</v>
      </c>
      <c r="BB97" s="36" t="n">
        <f aca="false">63.02/1000</f>
        <v>0.06302</v>
      </c>
      <c r="BC97" s="38" t="s">
        <v>817</v>
      </c>
      <c r="BD97" s="49" t="s">
        <v>818</v>
      </c>
      <c r="BE97" s="33" t="s">
        <v>131</v>
      </c>
      <c r="BF97" s="74" t="n">
        <v>44998</v>
      </c>
      <c r="BG97" s="56" t="s">
        <v>87</v>
      </c>
      <c r="BH97" s="36" t="n">
        <f aca="false">30.06/500</f>
        <v>0.06012</v>
      </c>
      <c r="BI97" s="38" t="s">
        <v>819</v>
      </c>
      <c r="BJ97" s="49" t="s">
        <v>610</v>
      </c>
      <c r="BK97" s="33" t="s">
        <v>90</v>
      </c>
      <c r="BL97" s="74" t="n">
        <v>44998</v>
      </c>
    </row>
    <row r="98" customFormat="false" ht="406.5" hidden="false" customHeight="false" outlineLevel="0" collapsed="false">
      <c r="A98" s="12" t="s">
        <v>22</v>
      </c>
      <c r="B98" s="12" t="s">
        <v>820</v>
      </c>
      <c r="C98" s="13" t="s">
        <v>821</v>
      </c>
      <c r="D98" s="14" t="s">
        <v>65</v>
      </c>
      <c r="E98" s="14" t="s">
        <v>66</v>
      </c>
      <c r="F98" s="14" t="n">
        <v>1</v>
      </c>
      <c r="G98" s="14" t="n">
        <v>25</v>
      </c>
      <c r="H98" s="15" t="n">
        <v>250</v>
      </c>
      <c r="I98" s="15" t="n">
        <v>250</v>
      </c>
      <c r="J98" s="16" t="s">
        <v>822</v>
      </c>
      <c r="K98" s="45" t="n">
        <v>97</v>
      </c>
      <c r="L98" s="17" t="s">
        <v>68</v>
      </c>
      <c r="M98" s="17" t="n">
        <v>21000000315</v>
      </c>
      <c r="N98" s="18" t="s">
        <v>823</v>
      </c>
      <c r="O98" s="17" t="s">
        <v>70</v>
      </c>
      <c r="P98" s="17" t="n">
        <f aca="false">SUM(R98:AP98)</f>
        <v>25</v>
      </c>
      <c r="Q98" s="17" t="s">
        <v>71</v>
      </c>
      <c r="R98" s="17"/>
      <c r="S98" s="17"/>
      <c r="T98" s="17"/>
      <c r="U98" s="17"/>
      <c r="V98" s="17"/>
      <c r="W98" s="17" t="n">
        <v>25</v>
      </c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4"/>
      <c r="AJ98" s="17"/>
      <c r="AK98" s="17"/>
      <c r="AL98" s="17"/>
      <c r="AM98" s="17"/>
      <c r="AN98" s="17"/>
      <c r="AO98" s="17"/>
      <c r="AP98" s="17"/>
      <c r="AQ98" s="19" t="s">
        <v>823</v>
      </c>
      <c r="AR98" s="17" t="s">
        <v>236</v>
      </c>
      <c r="AS98" s="20" t="n">
        <f aca="false">AVERAGE(AV98,BB98,BH98)</f>
        <v>18.1831666666667</v>
      </c>
      <c r="AT98" s="21" t="n">
        <f aca="false">(AS98*1.3)</f>
        <v>23.6381166666667</v>
      </c>
      <c r="AU98" s="48" t="s">
        <v>128</v>
      </c>
      <c r="AV98" s="20" t="n">
        <f aca="false">446.13 /25</f>
        <v>17.8452</v>
      </c>
      <c r="AW98" s="23" t="s">
        <v>824</v>
      </c>
      <c r="AX98" s="45" t="s">
        <v>130</v>
      </c>
      <c r="AY98" s="17" t="s">
        <v>131</v>
      </c>
      <c r="AZ98" s="80" t="n">
        <v>44998</v>
      </c>
      <c r="BA98" s="44" t="s">
        <v>87</v>
      </c>
      <c r="BB98" s="20" t="n">
        <f aca="false">438.46/25</f>
        <v>17.5384</v>
      </c>
      <c r="BC98" s="16" t="s">
        <v>825</v>
      </c>
      <c r="BD98" s="45" t="s">
        <v>610</v>
      </c>
      <c r="BE98" s="17" t="s">
        <v>90</v>
      </c>
      <c r="BF98" s="80" t="n">
        <v>44998</v>
      </c>
      <c r="BG98" s="56" t="s">
        <v>157</v>
      </c>
      <c r="BH98" s="20" t="n">
        <f aca="false">1916.59/100</f>
        <v>19.1659</v>
      </c>
      <c r="BI98" s="23" t="s">
        <v>826</v>
      </c>
      <c r="BJ98" s="45" t="s">
        <v>159</v>
      </c>
      <c r="BK98" s="17" t="s">
        <v>76</v>
      </c>
      <c r="BL98" s="80" t="n">
        <v>44998</v>
      </c>
    </row>
    <row r="99" customFormat="false" ht="316.5" hidden="false" customHeight="false" outlineLevel="0" collapsed="false">
      <c r="A99" s="28" t="s">
        <v>22</v>
      </c>
      <c r="B99" s="28" t="s">
        <v>827</v>
      </c>
      <c r="C99" s="29" t="s">
        <v>828</v>
      </c>
      <c r="D99" s="30" t="s">
        <v>65</v>
      </c>
      <c r="E99" s="30" t="s">
        <v>66</v>
      </c>
      <c r="F99" s="30" t="n">
        <v>8</v>
      </c>
      <c r="G99" s="30" t="n">
        <v>8</v>
      </c>
      <c r="H99" s="31" t="n">
        <v>240</v>
      </c>
      <c r="I99" s="31" t="n">
        <v>1920</v>
      </c>
      <c r="J99" s="38" t="s">
        <v>829</v>
      </c>
      <c r="K99" s="49" t="n">
        <v>98</v>
      </c>
      <c r="L99" s="33" t="s">
        <v>68</v>
      </c>
      <c r="M99" s="33" t="n">
        <v>21000000041</v>
      </c>
      <c r="N99" s="34" t="s">
        <v>830</v>
      </c>
      <c r="O99" s="33" t="s">
        <v>703</v>
      </c>
      <c r="P99" s="33" t="n">
        <f aca="false">SUM(R99:AP99)</f>
        <v>12</v>
      </c>
      <c r="Q99" s="33" t="s">
        <v>71</v>
      </c>
      <c r="R99" s="33"/>
      <c r="S99" s="33"/>
      <c r="T99" s="33"/>
      <c r="U99" s="33"/>
      <c r="V99" s="33"/>
      <c r="W99" s="33" t="n">
        <v>8</v>
      </c>
      <c r="X99" s="33" t="n">
        <v>2</v>
      </c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 t="n">
        <v>1</v>
      </c>
      <c r="AJ99" s="33"/>
      <c r="AK99" s="33"/>
      <c r="AL99" s="33"/>
      <c r="AM99" s="30"/>
      <c r="AN99" s="33"/>
      <c r="AO99" s="33" t="n">
        <v>1</v>
      </c>
      <c r="AP99" s="33"/>
      <c r="AQ99" s="35" t="s">
        <v>830</v>
      </c>
      <c r="AR99" s="33" t="s">
        <v>236</v>
      </c>
      <c r="AS99" s="36" t="n">
        <f aca="false">AVERAGE(AV99,BB99,BH99)</f>
        <v>25.14</v>
      </c>
      <c r="AT99" s="21" t="n">
        <f aca="false">(AS99*1.3)</f>
        <v>32.682</v>
      </c>
      <c r="AU99" s="48" t="s">
        <v>107</v>
      </c>
      <c r="AV99" s="36" t="n">
        <v>25.42</v>
      </c>
      <c r="AW99" s="32" t="s">
        <v>831</v>
      </c>
      <c r="AX99" s="49" t="s">
        <v>109</v>
      </c>
      <c r="AY99" s="33" t="s">
        <v>110</v>
      </c>
      <c r="AZ99" s="74" t="n">
        <v>44998</v>
      </c>
      <c r="BA99" s="44" t="s">
        <v>175</v>
      </c>
      <c r="BB99" s="36" t="n">
        <v>25</v>
      </c>
      <c r="BC99" s="38" t="s">
        <v>832</v>
      </c>
      <c r="BD99" s="49" t="s">
        <v>587</v>
      </c>
      <c r="BE99" s="33" t="s">
        <v>94</v>
      </c>
      <c r="BF99" s="74" t="n">
        <v>44998</v>
      </c>
      <c r="BG99" s="56" t="s">
        <v>803</v>
      </c>
      <c r="BH99" s="36" t="n">
        <v>25</v>
      </c>
      <c r="BI99" s="38" t="s">
        <v>833</v>
      </c>
      <c r="BJ99" s="49" t="s">
        <v>805</v>
      </c>
      <c r="BK99" s="33" t="s">
        <v>110</v>
      </c>
      <c r="BL99" s="74" t="n">
        <v>44998</v>
      </c>
    </row>
    <row r="100" customFormat="false" ht="474" hidden="false" customHeight="false" outlineLevel="0" collapsed="false">
      <c r="A100" s="12" t="s">
        <v>34</v>
      </c>
      <c r="B100" s="12" t="s">
        <v>834</v>
      </c>
      <c r="C100" s="13" t="s">
        <v>835</v>
      </c>
      <c r="D100" s="14" t="s">
        <v>65</v>
      </c>
      <c r="E100" s="14" t="s">
        <v>66</v>
      </c>
      <c r="F100" s="14" t="n">
        <v>250</v>
      </c>
      <c r="G100" s="14" t="n">
        <v>250</v>
      </c>
      <c r="H100" s="15" t="n">
        <v>0.04</v>
      </c>
      <c r="I100" s="15" t="n">
        <v>10</v>
      </c>
      <c r="J100" s="16" t="s">
        <v>836</v>
      </c>
      <c r="K100" s="45" t="n">
        <v>99</v>
      </c>
      <c r="L100" s="17" t="s">
        <v>68</v>
      </c>
      <c r="M100" s="17" t="n">
        <v>21000000042</v>
      </c>
      <c r="N100" s="18" t="s">
        <v>837</v>
      </c>
      <c r="O100" s="17" t="s">
        <v>70</v>
      </c>
      <c r="P100" s="17" t="n">
        <f aca="false">SUM(R100:AP100)</f>
        <v>500</v>
      </c>
      <c r="Q100" s="17" t="s">
        <v>71</v>
      </c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4" t="n">
        <v>500</v>
      </c>
      <c r="AJ100" s="17"/>
      <c r="AK100" s="17"/>
      <c r="AL100" s="17"/>
      <c r="AM100" s="17"/>
      <c r="AN100" s="17"/>
      <c r="AO100" s="17"/>
      <c r="AP100" s="17"/>
      <c r="AQ100" s="19" t="s">
        <v>837</v>
      </c>
      <c r="AR100" s="17" t="s">
        <v>236</v>
      </c>
      <c r="AS100" s="20" t="n">
        <f aca="false">AVERAGE(AV100,BB100,BH100)</f>
        <v>0.0926166666666667</v>
      </c>
      <c r="AT100" s="21" t="n">
        <f aca="false">(AS100*1.3)</f>
        <v>0.120401666666667</v>
      </c>
      <c r="AU100" s="48" t="s">
        <v>107</v>
      </c>
      <c r="AV100" s="20" t="n">
        <f aca="false">47.07 /500</f>
        <v>0.09414</v>
      </c>
      <c r="AW100" s="16" t="s">
        <v>838</v>
      </c>
      <c r="AX100" s="45" t="s">
        <v>109</v>
      </c>
      <c r="AY100" s="17" t="s">
        <v>110</v>
      </c>
      <c r="AZ100" s="80" t="n">
        <v>44998</v>
      </c>
      <c r="BA100" s="44" t="s">
        <v>839</v>
      </c>
      <c r="BB100" s="20" t="n">
        <f aca="false">98.93/1000</f>
        <v>0.09893</v>
      </c>
      <c r="BC100" s="23" t="s">
        <v>840</v>
      </c>
      <c r="BD100" s="45" t="s">
        <v>841</v>
      </c>
      <c r="BE100" s="17" t="s">
        <v>110</v>
      </c>
      <c r="BF100" s="80" t="n">
        <v>44998</v>
      </c>
      <c r="BG100" s="56" t="s">
        <v>104</v>
      </c>
      <c r="BH100" s="20" t="n">
        <f aca="false">42.39 /500</f>
        <v>0.08478</v>
      </c>
      <c r="BI100" s="16" t="s">
        <v>842</v>
      </c>
      <c r="BJ100" s="45" t="s">
        <v>420</v>
      </c>
      <c r="BK100" s="17" t="s">
        <v>444</v>
      </c>
      <c r="BL100" s="80" t="n">
        <v>44998</v>
      </c>
    </row>
    <row r="101" customFormat="false" ht="474" hidden="false" customHeight="false" outlineLevel="0" collapsed="false">
      <c r="A101" s="28" t="s">
        <v>25</v>
      </c>
      <c r="B101" s="28" t="s">
        <v>843</v>
      </c>
      <c r="C101" s="29" t="s">
        <v>844</v>
      </c>
      <c r="D101" s="30" t="s">
        <v>65</v>
      </c>
      <c r="E101" s="30" t="s">
        <v>66</v>
      </c>
      <c r="F101" s="30" t="n">
        <v>30</v>
      </c>
      <c r="G101" s="30" t="n">
        <v>100</v>
      </c>
      <c r="H101" s="31" t="n">
        <v>2.8</v>
      </c>
      <c r="I101" s="31" t="n">
        <v>84</v>
      </c>
      <c r="J101" s="32" t="s">
        <v>845</v>
      </c>
      <c r="K101" s="49" t="n">
        <v>100</v>
      </c>
      <c r="L101" s="33" t="s">
        <v>68</v>
      </c>
      <c r="M101" s="33" t="n">
        <v>21000000571</v>
      </c>
      <c r="N101" s="34" t="s">
        <v>846</v>
      </c>
      <c r="O101" s="33" t="s">
        <v>70</v>
      </c>
      <c r="P101" s="33" t="n">
        <f aca="false">SUM(R101:AP101)</f>
        <v>100</v>
      </c>
      <c r="Q101" s="33" t="s">
        <v>71</v>
      </c>
      <c r="R101" s="33"/>
      <c r="S101" s="33"/>
      <c r="T101" s="33"/>
      <c r="U101" s="33"/>
      <c r="V101" s="33"/>
      <c r="W101" s="33"/>
      <c r="X101" s="33"/>
      <c r="Y101" s="33"/>
      <c r="Z101" s="33" t="n">
        <v>100</v>
      </c>
      <c r="AA101" s="33"/>
      <c r="AB101" s="33"/>
      <c r="AC101" s="33"/>
      <c r="AD101" s="33"/>
      <c r="AE101" s="33"/>
      <c r="AF101" s="33"/>
      <c r="AG101" s="33"/>
      <c r="AH101" s="33"/>
      <c r="AI101" s="30"/>
      <c r="AJ101" s="33"/>
      <c r="AK101" s="33"/>
      <c r="AL101" s="33"/>
      <c r="AM101" s="33"/>
      <c r="AN101" s="33"/>
      <c r="AO101" s="33"/>
      <c r="AP101" s="33"/>
      <c r="AQ101" s="35" t="s">
        <v>846</v>
      </c>
      <c r="AR101" s="33" t="s">
        <v>236</v>
      </c>
      <c r="AS101" s="36" t="n">
        <f aca="false">AVERAGE(AV101,BB101,BH101)</f>
        <v>2.4871</v>
      </c>
      <c r="AT101" s="21" t="n">
        <f aca="false">(AS101*1.3)</f>
        <v>3.23323</v>
      </c>
      <c r="AU101" s="48" t="s">
        <v>128</v>
      </c>
      <c r="AV101" s="36" t="n">
        <f aca="false">214.46/100</f>
        <v>2.1446</v>
      </c>
      <c r="AW101" s="32" t="s">
        <v>847</v>
      </c>
      <c r="AX101" s="49" t="s">
        <v>130</v>
      </c>
      <c r="AY101" s="33" t="s">
        <v>131</v>
      </c>
      <c r="AZ101" s="74" t="n">
        <v>44998</v>
      </c>
      <c r="BA101" s="44" t="s">
        <v>104</v>
      </c>
      <c r="BB101" s="36" t="n">
        <f aca="false">70.74 /25</f>
        <v>2.8296</v>
      </c>
      <c r="BC101" s="38" t="s">
        <v>848</v>
      </c>
      <c r="BD101" s="49" t="s">
        <v>420</v>
      </c>
      <c r="BE101" s="33" t="s">
        <v>110</v>
      </c>
      <c r="BF101" s="74" t="n">
        <v>44998</v>
      </c>
      <c r="BG101" s="11"/>
      <c r="BH101" s="36"/>
      <c r="BI101" s="33"/>
      <c r="BJ101" s="33"/>
      <c r="BK101" s="33"/>
      <c r="BL101" s="33"/>
    </row>
    <row r="102" customFormat="false" ht="552.75" hidden="false" customHeight="false" outlineLevel="0" collapsed="false">
      <c r="A102" s="12" t="s">
        <v>38</v>
      </c>
      <c r="B102" s="12" t="s">
        <v>849</v>
      </c>
      <c r="C102" s="13" t="s">
        <v>850</v>
      </c>
      <c r="D102" s="14" t="s">
        <v>65</v>
      </c>
      <c r="E102" s="14" t="s">
        <v>66</v>
      </c>
      <c r="F102" s="14" t="n">
        <v>2</v>
      </c>
      <c r="G102" s="14" t="n">
        <v>50</v>
      </c>
      <c r="H102" s="15" t="n">
        <v>252</v>
      </c>
      <c r="I102" s="15" t="n">
        <v>252</v>
      </c>
      <c r="J102" s="23" t="s">
        <v>851</v>
      </c>
      <c r="K102" s="45" t="n">
        <v>101</v>
      </c>
      <c r="L102" s="17" t="s">
        <v>68</v>
      </c>
      <c r="M102" s="17" t="n">
        <v>21000000576</v>
      </c>
      <c r="N102" s="18" t="s">
        <v>852</v>
      </c>
      <c r="O102" s="17" t="s">
        <v>853</v>
      </c>
      <c r="P102" s="17" t="n">
        <f aca="false">SUM(R102:AP102)</f>
        <v>50</v>
      </c>
      <c r="Q102" s="17" t="s">
        <v>71</v>
      </c>
      <c r="R102" s="17"/>
      <c r="S102" s="17"/>
      <c r="T102" s="17"/>
      <c r="U102" s="17"/>
      <c r="V102" s="17"/>
      <c r="W102" s="17"/>
      <c r="X102" s="17"/>
      <c r="Y102" s="17"/>
      <c r="Z102" s="17"/>
      <c r="AA102" s="82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 t="n">
        <v>50</v>
      </c>
      <c r="AN102" s="17"/>
      <c r="AO102" s="17"/>
      <c r="AP102" s="17"/>
      <c r="AQ102" s="19" t="s">
        <v>852</v>
      </c>
      <c r="AR102" s="17" t="s">
        <v>236</v>
      </c>
      <c r="AS102" s="20" t="n">
        <f aca="false">AVERAGE(AV102,BB102,BH102)</f>
        <v>13.3328</v>
      </c>
      <c r="AT102" s="20" t="n">
        <f aca="false">(AS102*1.3)</f>
        <v>17.33264</v>
      </c>
      <c r="AU102" s="45" t="s">
        <v>157</v>
      </c>
      <c r="AV102" s="20" t="n">
        <f aca="false">1333.28/100</f>
        <v>13.3328</v>
      </c>
      <c r="AW102" s="16" t="s">
        <v>854</v>
      </c>
      <c r="AX102" s="45" t="s">
        <v>159</v>
      </c>
      <c r="AY102" s="17" t="s">
        <v>76</v>
      </c>
      <c r="AZ102" s="80" t="n">
        <v>44998</v>
      </c>
      <c r="BA102" s="45"/>
      <c r="BB102" s="20"/>
      <c r="BC102" s="17"/>
      <c r="BD102" s="45"/>
      <c r="BE102" s="17"/>
      <c r="BF102" s="80"/>
      <c r="BG102" s="17"/>
      <c r="BH102" s="20"/>
      <c r="BI102" s="17"/>
      <c r="BJ102" s="17"/>
      <c r="BK102" s="17"/>
      <c r="BL102" s="17"/>
    </row>
    <row r="103" customFormat="false" ht="372.75" hidden="false" customHeight="false" outlineLevel="0" collapsed="false">
      <c r="A103" s="28" t="s">
        <v>22</v>
      </c>
      <c r="B103" s="28" t="s">
        <v>855</v>
      </c>
      <c r="C103" s="29" t="s">
        <v>856</v>
      </c>
      <c r="D103" s="30" t="s">
        <v>65</v>
      </c>
      <c r="E103" s="30" t="s">
        <v>66</v>
      </c>
      <c r="F103" s="30" t="n">
        <v>7</v>
      </c>
      <c r="G103" s="30" t="n">
        <v>7</v>
      </c>
      <c r="H103" s="31" t="n">
        <v>120</v>
      </c>
      <c r="I103" s="31" t="n">
        <v>840</v>
      </c>
      <c r="J103" s="32" t="s">
        <v>857</v>
      </c>
      <c r="K103" s="49" t="n">
        <v>102</v>
      </c>
      <c r="L103" s="33" t="s">
        <v>68</v>
      </c>
      <c r="M103" s="33" t="n">
        <v>21000000043</v>
      </c>
      <c r="N103" s="34" t="s">
        <v>858</v>
      </c>
      <c r="O103" s="33" t="s">
        <v>115</v>
      </c>
      <c r="P103" s="33" t="n">
        <f aca="false">SUM(R103:AP103)</f>
        <v>9</v>
      </c>
      <c r="Q103" s="33" t="s">
        <v>71</v>
      </c>
      <c r="R103" s="33"/>
      <c r="S103" s="33"/>
      <c r="T103" s="33"/>
      <c r="U103" s="33"/>
      <c r="V103" s="33"/>
      <c r="W103" s="33" t="n">
        <v>7</v>
      </c>
      <c r="X103" s="33"/>
      <c r="Y103" s="33"/>
      <c r="Z103" s="33"/>
      <c r="AA103" s="33"/>
      <c r="AB103" s="33"/>
      <c r="AC103" s="33"/>
      <c r="AD103" s="33"/>
      <c r="AE103" s="33"/>
      <c r="AF103" s="33"/>
      <c r="AG103" s="30"/>
      <c r="AH103" s="33"/>
      <c r="AI103" s="33"/>
      <c r="AJ103" s="33"/>
      <c r="AK103" s="33"/>
      <c r="AL103" s="33"/>
      <c r="AM103" s="33" t="n">
        <v>2</v>
      </c>
      <c r="AN103" s="33"/>
      <c r="AO103" s="33"/>
      <c r="AP103" s="33"/>
      <c r="AQ103" s="35" t="s">
        <v>858</v>
      </c>
      <c r="AR103" s="33" t="s">
        <v>236</v>
      </c>
      <c r="AS103" s="36" t="n">
        <f aca="false">AVERAGE(AV103,BB103,BH103)</f>
        <v>125.57</v>
      </c>
      <c r="AT103" s="21" t="n">
        <f aca="false">(AS103*1.3)</f>
        <v>163.241</v>
      </c>
      <c r="AU103" s="48" t="s">
        <v>107</v>
      </c>
      <c r="AV103" s="36" t="n">
        <v>125.57</v>
      </c>
      <c r="AW103" s="38" t="s">
        <v>859</v>
      </c>
      <c r="AX103" s="49" t="s">
        <v>109</v>
      </c>
      <c r="AY103" s="33" t="s">
        <v>110</v>
      </c>
      <c r="AZ103" s="74" t="n">
        <v>44998</v>
      </c>
      <c r="BA103" s="10"/>
      <c r="BB103" s="36"/>
      <c r="BC103" s="33"/>
      <c r="BD103" s="33"/>
      <c r="BE103" s="33"/>
      <c r="BF103" s="33"/>
      <c r="BG103" s="11"/>
      <c r="BH103" s="36"/>
      <c r="BI103" s="33"/>
      <c r="BJ103" s="33"/>
      <c r="BK103" s="33"/>
      <c r="BL103" s="33"/>
    </row>
    <row r="104" customFormat="false" ht="361.5" hidden="false" customHeight="false" outlineLevel="0" collapsed="false">
      <c r="A104" s="12" t="s">
        <v>26</v>
      </c>
      <c r="B104" s="12" t="s">
        <v>860</v>
      </c>
      <c r="C104" s="13" t="n">
        <v>374874</v>
      </c>
      <c r="D104" s="14" t="s">
        <v>65</v>
      </c>
      <c r="E104" s="14" t="s">
        <v>66</v>
      </c>
      <c r="F104" s="14" t="n">
        <v>1</v>
      </c>
      <c r="G104" s="14" t="n">
        <v>100</v>
      </c>
      <c r="H104" s="15" t="n">
        <v>47</v>
      </c>
      <c r="I104" s="15" t="n">
        <v>47</v>
      </c>
      <c r="J104" s="23" t="s">
        <v>861</v>
      </c>
      <c r="K104" s="45" t="n">
        <v>103</v>
      </c>
      <c r="L104" s="17" t="s">
        <v>68</v>
      </c>
      <c r="M104" s="17" t="n">
        <v>21000000371</v>
      </c>
      <c r="N104" s="18" t="s">
        <v>862</v>
      </c>
      <c r="O104" s="17" t="s">
        <v>70</v>
      </c>
      <c r="P104" s="17" t="n">
        <f aca="false">SUM(R104:AP104)</f>
        <v>100</v>
      </c>
      <c r="Q104" s="17" t="s">
        <v>71</v>
      </c>
      <c r="R104" s="17"/>
      <c r="S104" s="17"/>
      <c r="T104" s="17"/>
      <c r="U104" s="17"/>
      <c r="V104" s="17"/>
      <c r="W104" s="17"/>
      <c r="X104" s="17"/>
      <c r="Y104" s="17"/>
      <c r="Z104" s="17"/>
      <c r="AA104" s="17" t="n">
        <v>100</v>
      </c>
      <c r="AB104" s="17"/>
      <c r="AC104" s="17"/>
      <c r="AD104" s="17"/>
      <c r="AE104" s="17"/>
      <c r="AF104" s="17"/>
      <c r="AG104" s="17"/>
      <c r="AH104" s="17"/>
      <c r="AI104" s="17"/>
      <c r="AJ104" s="14"/>
      <c r="AK104" s="17"/>
      <c r="AL104" s="17"/>
      <c r="AM104" s="17"/>
      <c r="AN104" s="17"/>
      <c r="AO104" s="17"/>
      <c r="AP104" s="17"/>
      <c r="AQ104" s="19" t="s">
        <v>862</v>
      </c>
      <c r="AR104" s="17" t="s">
        <v>236</v>
      </c>
      <c r="AS104" s="20" t="n">
        <f aca="false">AVERAGE(AV104,BB104,BH104)</f>
        <v>0.85195</v>
      </c>
      <c r="AT104" s="21" t="n">
        <f aca="false">(AS104*1.3)</f>
        <v>1.107535</v>
      </c>
      <c r="AU104" s="48" t="s">
        <v>157</v>
      </c>
      <c r="AV104" s="20" t="n">
        <f aca="false">84.39/100</f>
        <v>0.8439</v>
      </c>
      <c r="AW104" s="16" t="s">
        <v>863</v>
      </c>
      <c r="AX104" s="45" t="s">
        <v>159</v>
      </c>
      <c r="AY104" s="17" t="s">
        <v>76</v>
      </c>
      <c r="AZ104" s="80" t="n">
        <v>44998</v>
      </c>
      <c r="BA104" s="44" t="s">
        <v>350</v>
      </c>
      <c r="BB104" s="20" t="n">
        <f aca="false">86 /100</f>
        <v>0.86</v>
      </c>
      <c r="BC104" s="16" t="s">
        <v>864</v>
      </c>
      <c r="BD104" s="45" t="s">
        <v>97</v>
      </c>
      <c r="BE104" s="17" t="s">
        <v>865</v>
      </c>
      <c r="BF104" s="80" t="n">
        <v>44998</v>
      </c>
      <c r="BG104" s="11"/>
      <c r="BH104" s="20"/>
      <c r="BI104" s="17"/>
      <c r="BJ104" s="17"/>
      <c r="BK104" s="17"/>
      <c r="BL104" s="17"/>
    </row>
    <row r="105" customFormat="false" ht="350.25" hidden="false" customHeight="false" outlineLevel="0" collapsed="false">
      <c r="A105" s="28" t="s">
        <v>32</v>
      </c>
      <c r="B105" s="28" t="s">
        <v>866</v>
      </c>
      <c r="C105" s="29" t="s">
        <v>867</v>
      </c>
      <c r="D105" s="30" t="s">
        <v>65</v>
      </c>
      <c r="E105" s="30" t="s">
        <v>66</v>
      </c>
      <c r="F105" s="30" t="n">
        <v>5</v>
      </c>
      <c r="G105" s="30" t="n">
        <v>5</v>
      </c>
      <c r="H105" s="31" t="n">
        <v>49</v>
      </c>
      <c r="I105" s="31" t="n">
        <v>245</v>
      </c>
      <c r="J105" s="38" t="s">
        <v>868</v>
      </c>
      <c r="K105" s="49" t="n">
        <v>104</v>
      </c>
      <c r="L105" s="33" t="s">
        <v>68</v>
      </c>
      <c r="M105" s="33" t="n">
        <v>21000000045</v>
      </c>
      <c r="N105" s="34" t="s">
        <v>869</v>
      </c>
      <c r="O105" s="33" t="s">
        <v>268</v>
      </c>
      <c r="P105" s="33" t="n">
        <f aca="false">SUM(R105:AP105)</f>
        <v>5</v>
      </c>
      <c r="Q105" s="33" t="s">
        <v>71</v>
      </c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 t="n">
        <v>5</v>
      </c>
      <c r="AH105" s="33"/>
      <c r="AI105" s="33"/>
      <c r="AJ105" s="33"/>
      <c r="AK105" s="33"/>
      <c r="AL105" s="33"/>
      <c r="AM105" s="33"/>
      <c r="AN105" s="30"/>
      <c r="AO105" s="33"/>
      <c r="AP105" s="33"/>
      <c r="AQ105" s="35" t="s">
        <v>869</v>
      </c>
      <c r="AR105" s="33" t="s">
        <v>236</v>
      </c>
      <c r="AS105" s="36" t="n">
        <f aca="false">AVERAGE(AV105,BB105,BH105)</f>
        <v>55.0433333333333</v>
      </c>
      <c r="AT105" s="21" t="n">
        <f aca="false">(AS105*1.3)</f>
        <v>71.5563333333333</v>
      </c>
      <c r="AU105" s="7" t="s">
        <v>870</v>
      </c>
      <c r="AV105" s="36" t="n">
        <v>53.34</v>
      </c>
      <c r="AW105" s="38" t="s">
        <v>871</v>
      </c>
      <c r="AX105" s="33" t="s">
        <v>872</v>
      </c>
      <c r="AY105" s="33" t="s">
        <v>873</v>
      </c>
      <c r="AZ105" s="74" t="n">
        <v>44998</v>
      </c>
      <c r="BA105" s="44" t="s">
        <v>803</v>
      </c>
      <c r="BB105" s="36" t="n">
        <v>50.5</v>
      </c>
      <c r="BC105" s="32" t="s">
        <v>874</v>
      </c>
      <c r="BD105" s="49" t="s">
        <v>805</v>
      </c>
      <c r="BE105" s="33" t="s">
        <v>873</v>
      </c>
      <c r="BF105" s="74" t="n">
        <v>44998</v>
      </c>
      <c r="BG105" s="56" t="s">
        <v>361</v>
      </c>
      <c r="BH105" s="36" t="n">
        <v>61.29</v>
      </c>
      <c r="BI105" s="32" t="s">
        <v>875</v>
      </c>
      <c r="BJ105" s="49" t="s">
        <v>363</v>
      </c>
      <c r="BK105" s="33" t="s">
        <v>873</v>
      </c>
      <c r="BL105" s="74" t="n">
        <v>44998</v>
      </c>
    </row>
    <row r="106" customFormat="false" ht="339" hidden="false" customHeight="false" outlineLevel="0" collapsed="false">
      <c r="A106" s="12" t="s">
        <v>20</v>
      </c>
      <c r="B106" s="12" t="s">
        <v>876</v>
      </c>
      <c r="C106" s="13" t="s">
        <v>877</v>
      </c>
      <c r="D106" s="14" t="s">
        <v>65</v>
      </c>
      <c r="E106" s="14" t="s">
        <v>66</v>
      </c>
      <c r="F106" s="14" t="n">
        <v>1</v>
      </c>
      <c r="G106" s="14" t="n">
        <v>1</v>
      </c>
      <c r="H106" s="15" t="n">
        <v>114.69</v>
      </c>
      <c r="I106" s="15" t="n">
        <v>114.69</v>
      </c>
      <c r="J106" s="23" t="s">
        <v>878</v>
      </c>
      <c r="K106" s="45" t="n">
        <v>105</v>
      </c>
      <c r="L106" s="17" t="s">
        <v>68</v>
      </c>
      <c r="M106" s="17" t="n">
        <v>21000000046</v>
      </c>
      <c r="N106" s="18" t="s">
        <v>879</v>
      </c>
      <c r="O106" s="17" t="s">
        <v>268</v>
      </c>
      <c r="P106" s="17" t="n">
        <f aca="false">SUM(R106:AP106)</f>
        <v>5</v>
      </c>
      <c r="Q106" s="17" t="s">
        <v>71</v>
      </c>
      <c r="R106" s="17"/>
      <c r="S106" s="17"/>
      <c r="T106" s="17"/>
      <c r="U106" s="17" t="n">
        <v>1</v>
      </c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 t="n">
        <v>2</v>
      </c>
      <c r="AH106" s="17"/>
      <c r="AI106" s="17"/>
      <c r="AJ106" s="17" t="n">
        <v>1</v>
      </c>
      <c r="AK106" s="14"/>
      <c r="AL106" s="17"/>
      <c r="AM106" s="17"/>
      <c r="AN106" s="17" t="n">
        <v>1</v>
      </c>
      <c r="AO106" s="17"/>
      <c r="AP106" s="17"/>
      <c r="AQ106" s="19" t="s">
        <v>879</v>
      </c>
      <c r="AR106" s="17" t="s">
        <v>236</v>
      </c>
      <c r="AS106" s="20" t="n">
        <f aca="false">AVERAGE(AV106,BB106,BH106)</f>
        <v>112.52</v>
      </c>
      <c r="AT106" s="21" t="n">
        <f aca="false">(AS106*1.3)</f>
        <v>146.276</v>
      </c>
      <c r="AU106" s="48" t="s">
        <v>104</v>
      </c>
      <c r="AV106" s="20" t="n">
        <v>96.9</v>
      </c>
      <c r="AW106" s="16" t="s">
        <v>880</v>
      </c>
      <c r="AX106" s="45" t="s">
        <v>420</v>
      </c>
      <c r="AY106" s="17" t="s">
        <v>873</v>
      </c>
      <c r="AZ106" s="80" t="n">
        <v>44998</v>
      </c>
      <c r="BA106" s="87" t="s">
        <v>870</v>
      </c>
      <c r="BB106" s="20" t="n">
        <v>111.51</v>
      </c>
      <c r="BC106" s="16" t="s">
        <v>881</v>
      </c>
      <c r="BD106" s="88" t="s">
        <v>872</v>
      </c>
      <c r="BE106" s="17" t="s">
        <v>873</v>
      </c>
      <c r="BF106" s="80" t="n">
        <v>44998</v>
      </c>
      <c r="BG106" s="56" t="s">
        <v>361</v>
      </c>
      <c r="BH106" s="17" t="n">
        <v>129.15</v>
      </c>
      <c r="BI106" s="16" t="s">
        <v>882</v>
      </c>
      <c r="BJ106" s="45" t="s">
        <v>363</v>
      </c>
      <c r="BK106" s="17" t="s">
        <v>873</v>
      </c>
      <c r="BL106" s="80" t="n">
        <v>44998</v>
      </c>
    </row>
    <row r="107" customFormat="false" ht="316.5" hidden="false" customHeight="false" outlineLevel="0" collapsed="false">
      <c r="A107" s="28" t="s">
        <v>35</v>
      </c>
      <c r="B107" s="28" t="s">
        <v>883</v>
      </c>
      <c r="C107" s="29" t="s">
        <v>884</v>
      </c>
      <c r="D107" s="30" t="s">
        <v>65</v>
      </c>
      <c r="E107" s="30" t="s">
        <v>66</v>
      </c>
      <c r="F107" s="30" t="n">
        <v>2</v>
      </c>
      <c r="G107" s="30" t="n">
        <v>1</v>
      </c>
      <c r="H107" s="31" t="n">
        <v>346.78</v>
      </c>
      <c r="I107" s="31" t="n">
        <v>346.78</v>
      </c>
      <c r="J107" s="32" t="s">
        <v>885</v>
      </c>
      <c r="K107" s="49" t="n">
        <v>106</v>
      </c>
      <c r="L107" s="33" t="s">
        <v>68</v>
      </c>
      <c r="M107" s="33" t="n">
        <v>21000000499</v>
      </c>
      <c r="N107" s="34" t="s">
        <v>886</v>
      </c>
      <c r="O107" s="33" t="s">
        <v>268</v>
      </c>
      <c r="P107" s="33" t="n">
        <f aca="false">SUM(R107:AP107)</f>
        <v>1</v>
      </c>
      <c r="Q107" s="33" t="s">
        <v>71</v>
      </c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 t="n">
        <v>1</v>
      </c>
      <c r="AK107" s="33"/>
      <c r="AL107" s="33"/>
      <c r="AM107" s="33"/>
      <c r="AN107" s="33"/>
      <c r="AO107" s="33"/>
      <c r="AP107" s="33"/>
      <c r="AQ107" s="35" t="s">
        <v>886</v>
      </c>
      <c r="AR107" s="33"/>
      <c r="AS107" s="36" t="e">
        <f aca="false">AVERAGE(AV107,BB107,BH107)</f>
        <v>#DIV/0!</v>
      </c>
      <c r="AT107" s="47" t="e">
        <f aca="false">(AS107*1.3)</f>
        <v>#DIV/0!</v>
      </c>
      <c r="AU107" s="7"/>
      <c r="AV107" s="36"/>
      <c r="AW107" s="33"/>
      <c r="AX107" s="33"/>
      <c r="AY107" s="33"/>
      <c r="AZ107" s="33"/>
      <c r="BA107" s="10"/>
      <c r="BB107" s="36"/>
      <c r="BC107" s="33"/>
      <c r="BD107" s="33"/>
      <c r="BE107" s="33"/>
      <c r="BF107" s="33"/>
      <c r="BG107" s="11"/>
      <c r="BH107" s="36"/>
      <c r="BI107" s="33"/>
      <c r="BJ107" s="33"/>
      <c r="BK107" s="33"/>
      <c r="BL107" s="33"/>
    </row>
    <row r="108" customFormat="false" ht="451.5" hidden="false" customHeight="false" outlineLevel="0" collapsed="false">
      <c r="A108" s="12" t="s">
        <v>22</v>
      </c>
      <c r="B108" s="12" t="s">
        <v>887</v>
      </c>
      <c r="C108" s="13" t="s">
        <v>888</v>
      </c>
      <c r="D108" s="14" t="s">
        <v>65</v>
      </c>
      <c r="E108" s="14" t="s">
        <v>66</v>
      </c>
      <c r="F108" s="14" t="n">
        <v>500</v>
      </c>
      <c r="G108" s="14" t="n">
        <v>500</v>
      </c>
      <c r="H108" s="15" t="n">
        <v>122.53</v>
      </c>
      <c r="I108" s="15" t="n">
        <v>122.53</v>
      </c>
      <c r="J108" s="23" t="s">
        <v>889</v>
      </c>
      <c r="K108" s="45" t="n">
        <v>107</v>
      </c>
      <c r="L108" s="17" t="s">
        <v>68</v>
      </c>
      <c r="M108" s="17" t="n">
        <v>21000000137</v>
      </c>
      <c r="N108" s="18" t="s">
        <v>890</v>
      </c>
      <c r="O108" s="17" t="s">
        <v>70</v>
      </c>
      <c r="P108" s="17" t="n">
        <f aca="false">SUM(R108:AP108)</f>
        <v>2000</v>
      </c>
      <c r="Q108" s="17" t="s">
        <v>71</v>
      </c>
      <c r="R108" s="17"/>
      <c r="S108" s="17"/>
      <c r="T108" s="17"/>
      <c r="U108" s="17"/>
      <c r="V108" s="17"/>
      <c r="W108" s="17" t="n">
        <v>500</v>
      </c>
      <c r="X108" s="17"/>
      <c r="Y108" s="17"/>
      <c r="Z108" s="17"/>
      <c r="AA108" s="17" t="n">
        <v>1000</v>
      </c>
      <c r="AB108" s="17"/>
      <c r="AC108" s="17"/>
      <c r="AD108" s="17"/>
      <c r="AE108" s="17"/>
      <c r="AF108" s="17"/>
      <c r="AG108" s="17"/>
      <c r="AH108" s="17"/>
      <c r="AI108" s="17" t="n">
        <v>500</v>
      </c>
      <c r="AJ108" s="17"/>
      <c r="AK108" s="17"/>
      <c r="AL108" s="17"/>
      <c r="AM108" s="17"/>
      <c r="AN108" s="17"/>
      <c r="AO108" s="17"/>
      <c r="AP108" s="17"/>
      <c r="AQ108" s="19" t="s">
        <v>890</v>
      </c>
      <c r="AR108" s="17" t="s">
        <v>236</v>
      </c>
      <c r="AS108" s="20" t="n">
        <f aca="false">AVERAGE(AV108,BB108,BH108)</f>
        <v>0.419706666666667</v>
      </c>
      <c r="AT108" s="21" t="n">
        <f aca="false">(AS108*1.3)</f>
        <v>0.545618666666667</v>
      </c>
      <c r="AU108" s="48" t="s">
        <v>125</v>
      </c>
      <c r="AV108" s="20" t="n">
        <f aca="false">163.36/500</f>
        <v>0.32672</v>
      </c>
      <c r="AW108" s="16" t="s">
        <v>891</v>
      </c>
      <c r="AX108" s="45" t="s">
        <v>127</v>
      </c>
      <c r="AY108" s="17" t="s">
        <v>110</v>
      </c>
      <c r="AZ108" s="80" t="n">
        <v>44998</v>
      </c>
      <c r="BA108" s="44" t="s">
        <v>157</v>
      </c>
      <c r="BB108" s="20" t="n">
        <f aca="false">123.1/250</f>
        <v>0.4924</v>
      </c>
      <c r="BC108" s="23" t="s">
        <v>892</v>
      </c>
      <c r="BD108" s="45" t="s">
        <v>159</v>
      </c>
      <c r="BE108" s="17" t="s">
        <v>76</v>
      </c>
      <c r="BF108" s="80" t="n">
        <v>44998</v>
      </c>
      <c r="BG108" s="56" t="s">
        <v>144</v>
      </c>
      <c r="BH108" s="20" t="n">
        <f aca="false">220/500</f>
        <v>0.44</v>
      </c>
      <c r="BI108" s="23" t="s">
        <v>893</v>
      </c>
      <c r="BJ108" s="45" t="s">
        <v>146</v>
      </c>
      <c r="BK108" s="17" t="s">
        <v>76</v>
      </c>
      <c r="BL108" s="80" t="n">
        <v>44998</v>
      </c>
    </row>
    <row r="109" customFormat="false" ht="350.25" hidden="false" customHeight="false" outlineLevel="0" collapsed="false">
      <c r="A109" s="28" t="s">
        <v>22</v>
      </c>
      <c r="B109" s="28" t="s">
        <v>894</v>
      </c>
      <c r="C109" s="29" t="s">
        <v>895</v>
      </c>
      <c r="D109" s="30" t="s">
        <v>65</v>
      </c>
      <c r="E109" s="30" t="s">
        <v>66</v>
      </c>
      <c r="F109" s="30" t="n">
        <v>10</v>
      </c>
      <c r="G109" s="30" t="n">
        <v>10</v>
      </c>
      <c r="H109" s="31" t="n">
        <v>105</v>
      </c>
      <c r="I109" s="31" t="n">
        <v>1050</v>
      </c>
      <c r="J109" s="32" t="s">
        <v>896</v>
      </c>
      <c r="K109" s="49" t="n">
        <v>108</v>
      </c>
      <c r="L109" s="33" t="s">
        <v>68</v>
      </c>
      <c r="M109" s="33" t="n">
        <v>21000000140</v>
      </c>
      <c r="N109" s="34" t="s">
        <v>897</v>
      </c>
      <c r="O109" s="33" t="s">
        <v>115</v>
      </c>
      <c r="P109" s="33" t="n">
        <f aca="false">SUM(R109:AP109)</f>
        <v>11</v>
      </c>
      <c r="Q109" s="33" t="s">
        <v>71</v>
      </c>
      <c r="R109" s="33"/>
      <c r="S109" s="33"/>
      <c r="T109" s="33"/>
      <c r="U109" s="33"/>
      <c r="V109" s="33"/>
      <c r="W109" s="33" t="n">
        <v>10</v>
      </c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0"/>
      <c r="AJ109" s="33"/>
      <c r="AK109" s="33"/>
      <c r="AL109" s="33"/>
      <c r="AM109" s="33" t="n">
        <v>1</v>
      </c>
      <c r="AN109" s="33"/>
      <c r="AO109" s="33"/>
      <c r="AP109" s="33"/>
      <c r="AQ109" s="35" t="s">
        <v>897</v>
      </c>
      <c r="AR109" s="33" t="s">
        <v>236</v>
      </c>
      <c r="AS109" s="36" t="n">
        <f aca="false">AVERAGE(AV109,BB109,BH109)</f>
        <v>140.885</v>
      </c>
      <c r="AT109" s="21" t="n">
        <f aca="false">(AS109*1.3)</f>
        <v>183.1505</v>
      </c>
      <c r="AU109" s="48" t="s">
        <v>157</v>
      </c>
      <c r="AV109" s="36" t="n">
        <v>149.99</v>
      </c>
      <c r="AW109" s="32" t="s">
        <v>898</v>
      </c>
      <c r="AX109" s="49" t="s">
        <v>159</v>
      </c>
      <c r="AY109" s="33" t="s">
        <v>899</v>
      </c>
      <c r="AZ109" s="74" t="n">
        <v>44998</v>
      </c>
      <c r="BA109" s="44" t="s">
        <v>107</v>
      </c>
      <c r="BB109" s="36" t="n">
        <v>131.78</v>
      </c>
      <c r="BC109" s="38" t="s">
        <v>900</v>
      </c>
      <c r="BD109" s="49" t="s">
        <v>109</v>
      </c>
      <c r="BE109" s="33" t="s">
        <v>110</v>
      </c>
      <c r="BF109" s="74" t="n">
        <v>44998</v>
      </c>
      <c r="BG109" s="11"/>
      <c r="BH109" s="36"/>
      <c r="BI109" s="33"/>
      <c r="BJ109" s="33"/>
      <c r="BK109" s="33"/>
      <c r="BL109" s="33"/>
    </row>
    <row r="110" customFormat="false" ht="327.75" hidden="false" customHeight="false" outlineLevel="0" collapsed="false">
      <c r="A110" s="12" t="s">
        <v>34</v>
      </c>
      <c r="B110" s="12" t="s">
        <v>901</v>
      </c>
      <c r="C110" s="13" t="s">
        <v>902</v>
      </c>
      <c r="D110" s="14" t="s">
        <v>65</v>
      </c>
      <c r="E110" s="14" t="s">
        <v>66</v>
      </c>
      <c r="F110" s="14" t="n">
        <v>5</v>
      </c>
      <c r="G110" s="14" t="n">
        <v>5</v>
      </c>
      <c r="H110" s="15" t="n">
        <v>51.59</v>
      </c>
      <c r="I110" s="15" t="n">
        <v>257.95</v>
      </c>
      <c r="J110" s="23" t="s">
        <v>903</v>
      </c>
      <c r="K110" s="45" t="n">
        <v>109</v>
      </c>
      <c r="L110" s="17" t="s">
        <v>68</v>
      </c>
      <c r="M110" s="17" t="n">
        <v>21000000139</v>
      </c>
      <c r="N110" s="18" t="s">
        <v>904</v>
      </c>
      <c r="O110" s="17" t="s">
        <v>115</v>
      </c>
      <c r="P110" s="17" t="n">
        <f aca="false">SUM(R110:AP110)</f>
        <v>6</v>
      </c>
      <c r="Q110" s="17" t="s">
        <v>71</v>
      </c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4" t="n">
        <v>5</v>
      </c>
      <c r="AJ110" s="17"/>
      <c r="AK110" s="17"/>
      <c r="AL110" s="17"/>
      <c r="AM110" s="17" t="n">
        <v>1</v>
      </c>
      <c r="AN110" s="17"/>
      <c r="AO110" s="17"/>
      <c r="AP110" s="17"/>
      <c r="AQ110" s="19" t="s">
        <v>904</v>
      </c>
      <c r="AR110" s="17" t="s">
        <v>236</v>
      </c>
      <c r="AS110" s="20" t="n">
        <f aca="false">AVERAGE(AV110,BB110,BH110)</f>
        <v>77.8</v>
      </c>
      <c r="AT110" s="21" t="n">
        <f aca="false">(AS110*1.3)</f>
        <v>101.14</v>
      </c>
      <c r="AU110" s="48" t="s">
        <v>107</v>
      </c>
      <c r="AV110" s="20" t="n">
        <v>79.76</v>
      </c>
      <c r="AW110" s="23" t="s">
        <v>905</v>
      </c>
      <c r="AX110" s="45" t="s">
        <v>109</v>
      </c>
      <c r="AY110" s="17" t="s">
        <v>110</v>
      </c>
      <c r="AZ110" s="80" t="n">
        <v>44998</v>
      </c>
      <c r="BA110" s="44" t="s">
        <v>157</v>
      </c>
      <c r="BB110" s="20" t="n">
        <v>75.84</v>
      </c>
      <c r="BC110" s="16" t="s">
        <v>906</v>
      </c>
      <c r="BD110" s="45" t="s">
        <v>159</v>
      </c>
      <c r="BE110" s="17" t="s">
        <v>76</v>
      </c>
      <c r="BF110" s="80" t="n">
        <v>44998</v>
      </c>
      <c r="BG110" s="11"/>
      <c r="BH110" s="20"/>
      <c r="BI110" s="17"/>
      <c r="BJ110" s="17"/>
      <c r="BK110" s="17"/>
      <c r="BL110" s="80"/>
    </row>
    <row r="111" customFormat="false" ht="350.25" hidden="false" customHeight="false" outlineLevel="0" collapsed="false">
      <c r="A111" s="28" t="s">
        <v>34</v>
      </c>
      <c r="B111" s="28" t="s">
        <v>907</v>
      </c>
      <c r="C111" s="29" t="s">
        <v>908</v>
      </c>
      <c r="D111" s="30" t="s">
        <v>65</v>
      </c>
      <c r="E111" s="30" t="s">
        <v>66</v>
      </c>
      <c r="F111" s="30" t="n">
        <v>1</v>
      </c>
      <c r="G111" s="30" t="n">
        <v>1</v>
      </c>
      <c r="H111" s="31" t="n">
        <v>162</v>
      </c>
      <c r="I111" s="31" t="n">
        <v>162</v>
      </c>
      <c r="J111" s="38" t="s">
        <v>909</v>
      </c>
      <c r="K111" s="49" t="n">
        <v>110</v>
      </c>
      <c r="L111" s="33" t="s">
        <v>68</v>
      </c>
      <c r="M111" s="33" t="n">
        <v>21000000141</v>
      </c>
      <c r="N111" s="34" t="s">
        <v>910</v>
      </c>
      <c r="O111" s="33" t="s">
        <v>70</v>
      </c>
      <c r="P111" s="33" t="n">
        <f aca="false">SUM(R111:AP111)</f>
        <v>1000</v>
      </c>
      <c r="Q111" s="33" t="s">
        <v>71</v>
      </c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 t="n">
        <v>1000</v>
      </c>
      <c r="AJ111" s="33"/>
      <c r="AK111" s="33"/>
      <c r="AL111" s="33"/>
      <c r="AM111" s="33"/>
      <c r="AN111" s="33"/>
      <c r="AO111" s="30"/>
      <c r="AP111" s="33"/>
      <c r="AQ111" s="35" t="s">
        <v>910</v>
      </c>
      <c r="AR111" s="33" t="s">
        <v>236</v>
      </c>
      <c r="AS111" s="36" t="n">
        <f aca="false">AVERAGE(AV111,BB111,BH111)</f>
        <v>0.529053333333333</v>
      </c>
      <c r="AT111" s="36" t="n">
        <f aca="false">(AS111*1.3)</f>
        <v>0.687769333333333</v>
      </c>
      <c r="AU111" s="49" t="s">
        <v>287</v>
      </c>
      <c r="AV111" s="36" t="n">
        <f aca="false">280/500</f>
        <v>0.56</v>
      </c>
      <c r="AW111" s="32" t="s">
        <v>911</v>
      </c>
      <c r="AX111" s="49" t="s">
        <v>134</v>
      </c>
      <c r="AY111" s="33" t="s">
        <v>731</v>
      </c>
      <c r="AZ111" s="74" t="n">
        <v>44998</v>
      </c>
      <c r="BA111" s="49" t="s">
        <v>350</v>
      </c>
      <c r="BB111" s="36" t="n">
        <f aca="false">238/500</f>
        <v>0.476</v>
      </c>
      <c r="BC111" s="32" t="s">
        <v>912</v>
      </c>
      <c r="BD111" s="49" t="s">
        <v>97</v>
      </c>
      <c r="BE111" s="33" t="s">
        <v>865</v>
      </c>
      <c r="BF111" s="74" t="n">
        <v>44998</v>
      </c>
      <c r="BG111" s="49" t="s">
        <v>128</v>
      </c>
      <c r="BH111" s="36" t="n">
        <f aca="false">275.58 /500</f>
        <v>0.55116</v>
      </c>
      <c r="BI111" s="32" t="s">
        <v>913</v>
      </c>
      <c r="BJ111" s="49" t="s">
        <v>130</v>
      </c>
      <c r="BK111" s="33" t="s">
        <v>131</v>
      </c>
      <c r="BL111" s="74" t="n">
        <v>44998</v>
      </c>
    </row>
    <row r="112" customFormat="false" ht="429" hidden="false" customHeight="false" outlineLevel="0" collapsed="false">
      <c r="A112" s="12" t="s">
        <v>40</v>
      </c>
      <c r="B112" s="12" t="s">
        <v>914</v>
      </c>
      <c r="C112" s="13" t="s">
        <v>915</v>
      </c>
      <c r="D112" s="14" t="s">
        <v>65</v>
      </c>
      <c r="E112" s="14" t="s">
        <v>66</v>
      </c>
      <c r="F112" s="14" t="n">
        <v>500</v>
      </c>
      <c r="G112" s="14" t="n">
        <v>500</v>
      </c>
      <c r="H112" s="15" t="n">
        <v>0.12</v>
      </c>
      <c r="I112" s="15" t="n">
        <v>60</v>
      </c>
      <c r="J112" s="23" t="s">
        <v>916</v>
      </c>
      <c r="K112" s="45" t="n">
        <v>111</v>
      </c>
      <c r="L112" s="17" t="s">
        <v>68</v>
      </c>
      <c r="M112" s="17" t="n">
        <v>21000000142</v>
      </c>
      <c r="N112" s="18" t="s">
        <v>917</v>
      </c>
      <c r="O112" s="17" t="s">
        <v>70</v>
      </c>
      <c r="P112" s="17" t="n">
        <f aca="false">SUM(R112:AP112)</f>
        <v>500</v>
      </c>
      <c r="Q112" s="17" t="s">
        <v>71</v>
      </c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 t="n">
        <v>500</v>
      </c>
      <c r="AP112" s="17"/>
      <c r="AQ112" s="19" t="s">
        <v>917</v>
      </c>
      <c r="AR112" s="17" t="s">
        <v>236</v>
      </c>
      <c r="AS112" s="20" t="n">
        <f aca="false">AVERAGE(AV112,BB112,BH112)</f>
        <v>0.22584</v>
      </c>
      <c r="AT112" s="21" t="n">
        <f aca="false">(AS112*1.3)</f>
        <v>0.293592</v>
      </c>
      <c r="AU112" s="48" t="s">
        <v>107</v>
      </c>
      <c r="AV112" s="20" t="n">
        <f aca="false">95.76 /500</f>
        <v>0.19152</v>
      </c>
      <c r="AW112" s="23" t="s">
        <v>918</v>
      </c>
      <c r="AX112" s="45" t="s">
        <v>109</v>
      </c>
      <c r="AY112" s="17" t="s">
        <v>110</v>
      </c>
      <c r="AZ112" s="80" t="n">
        <v>44998</v>
      </c>
      <c r="BA112" s="44" t="s">
        <v>157</v>
      </c>
      <c r="BB112" s="20" t="n">
        <f aca="false">130.08/500</f>
        <v>0.26016</v>
      </c>
      <c r="BC112" s="23" t="s">
        <v>919</v>
      </c>
      <c r="BD112" s="45" t="s">
        <v>159</v>
      </c>
      <c r="BE112" s="17" t="s">
        <v>76</v>
      </c>
      <c r="BF112" s="80" t="n">
        <v>44998</v>
      </c>
      <c r="BG112" s="11"/>
      <c r="BH112" s="20"/>
      <c r="BI112" s="17"/>
      <c r="BJ112" s="17"/>
      <c r="BK112" s="17"/>
      <c r="BL112" s="17"/>
    </row>
    <row r="113" customFormat="false" ht="474" hidden="false" customHeight="false" outlineLevel="0" collapsed="false">
      <c r="A113" s="28" t="s">
        <v>28</v>
      </c>
      <c r="B113" s="28" t="s">
        <v>920</v>
      </c>
      <c r="C113" s="29" t="n">
        <v>449870</v>
      </c>
      <c r="D113" s="30" t="s">
        <v>65</v>
      </c>
      <c r="E113" s="30" t="s">
        <v>66</v>
      </c>
      <c r="F113" s="30" t="n">
        <v>1</v>
      </c>
      <c r="G113" s="30" t="n">
        <v>1</v>
      </c>
      <c r="H113" s="31" t="n">
        <v>600</v>
      </c>
      <c r="I113" s="31" t="n">
        <v>600</v>
      </c>
      <c r="J113" s="38" t="s">
        <v>921</v>
      </c>
      <c r="K113" s="49" t="n">
        <v>112</v>
      </c>
      <c r="L113" s="33" t="s">
        <v>68</v>
      </c>
      <c r="M113" s="33" t="n">
        <v>21000000573</v>
      </c>
      <c r="N113" s="34" t="s">
        <v>922</v>
      </c>
      <c r="O113" s="33" t="s">
        <v>70</v>
      </c>
      <c r="P113" s="33" t="n">
        <f aca="false">SUM(R113:AP113)</f>
        <v>500</v>
      </c>
      <c r="Q113" s="33" t="s">
        <v>71</v>
      </c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 t="n">
        <v>500</v>
      </c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5" t="s">
        <v>922</v>
      </c>
      <c r="AR113" s="33" t="s">
        <v>236</v>
      </c>
      <c r="AS113" s="36" t="n">
        <f aca="false">AVERAGE(AV113,BB113,BH113)</f>
        <v>0.45492</v>
      </c>
      <c r="AT113" s="21" t="n">
        <f aca="false">(AS113*1.3)</f>
        <v>0.591396</v>
      </c>
      <c r="AU113" s="48" t="s">
        <v>128</v>
      </c>
      <c r="AV113" s="36" t="n">
        <f aca="false">227.46 /500</f>
        <v>0.45492</v>
      </c>
      <c r="AW113" s="38" t="s">
        <v>923</v>
      </c>
      <c r="AX113" s="49" t="s">
        <v>130</v>
      </c>
      <c r="AY113" s="33" t="s">
        <v>131</v>
      </c>
      <c r="AZ113" s="74" t="n">
        <v>44998</v>
      </c>
      <c r="BA113" s="10"/>
      <c r="BB113" s="36"/>
      <c r="BC113" s="33"/>
      <c r="BD113" s="33"/>
      <c r="BE113" s="33"/>
      <c r="BF113" s="33"/>
      <c r="BG113" s="11"/>
      <c r="BH113" s="36"/>
      <c r="BI113" s="33"/>
      <c r="BJ113" s="33"/>
      <c r="BK113" s="33"/>
      <c r="BL113" s="33"/>
    </row>
    <row r="114" customFormat="false" ht="485.25" hidden="false" customHeight="false" outlineLevel="0" collapsed="false">
      <c r="A114" s="12" t="s">
        <v>22</v>
      </c>
      <c r="B114" s="12" t="s">
        <v>924</v>
      </c>
      <c r="C114" s="13" t="s">
        <v>925</v>
      </c>
      <c r="D114" s="14" t="s">
        <v>65</v>
      </c>
      <c r="E114" s="14" t="s">
        <v>66</v>
      </c>
      <c r="F114" s="14" t="n">
        <v>1001</v>
      </c>
      <c r="G114" s="14" t="n">
        <v>1500</v>
      </c>
      <c r="H114" s="15" t="n">
        <v>16</v>
      </c>
      <c r="I114" s="15" t="n">
        <v>16016</v>
      </c>
      <c r="J114" s="16" t="s">
        <v>926</v>
      </c>
      <c r="K114" s="45" t="n">
        <v>113</v>
      </c>
      <c r="L114" s="17" t="s">
        <v>68</v>
      </c>
      <c r="M114" s="17" t="n">
        <v>21000000020</v>
      </c>
      <c r="N114" s="18" t="s">
        <v>927</v>
      </c>
      <c r="O114" s="17" t="s">
        <v>70</v>
      </c>
      <c r="P114" s="17" t="n">
        <f aca="false">SUM(R114:AP114)</f>
        <v>11000</v>
      </c>
      <c r="Q114" s="17" t="s">
        <v>71</v>
      </c>
      <c r="R114" s="17"/>
      <c r="S114" s="17"/>
      <c r="T114" s="17"/>
      <c r="U114" s="17"/>
      <c r="V114" s="17"/>
      <c r="W114" s="17" t="n">
        <v>1500</v>
      </c>
      <c r="X114" s="17"/>
      <c r="Y114" s="17"/>
      <c r="Z114" s="17" t="n">
        <v>500</v>
      </c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4" t="n">
        <v>1500</v>
      </c>
      <c r="AP114" s="17" t="n">
        <v>7500</v>
      </c>
      <c r="AQ114" s="19" t="s">
        <v>927</v>
      </c>
      <c r="AR114" s="17" t="s">
        <v>236</v>
      </c>
      <c r="AS114" s="20" t="n">
        <f aca="false">AVERAGE(AV114,BB114,BH114)</f>
        <v>0.15764</v>
      </c>
      <c r="AT114" s="21" t="n">
        <f aca="false">(AS114*1.3)</f>
        <v>0.204932</v>
      </c>
      <c r="AU114" s="48" t="s">
        <v>128</v>
      </c>
      <c r="AV114" s="20" t="n">
        <f aca="false">67.24 /500</f>
        <v>0.13448</v>
      </c>
      <c r="AW114" s="16" t="s">
        <v>928</v>
      </c>
      <c r="AX114" s="45" t="s">
        <v>130</v>
      </c>
      <c r="AY114" s="17" t="s">
        <v>131</v>
      </c>
      <c r="AZ114" s="80" t="n">
        <v>44998</v>
      </c>
      <c r="BA114" s="44" t="s">
        <v>107</v>
      </c>
      <c r="BB114" s="20" t="n">
        <f aca="false">88.22/500</f>
        <v>0.17644</v>
      </c>
      <c r="BC114" s="23" t="s">
        <v>929</v>
      </c>
      <c r="BD114" s="45" t="s">
        <v>109</v>
      </c>
      <c r="BE114" s="17" t="s">
        <v>110</v>
      </c>
      <c r="BF114" s="80" t="n">
        <v>44998</v>
      </c>
      <c r="BG114" s="56" t="s">
        <v>175</v>
      </c>
      <c r="BH114" s="20" t="n">
        <f aca="false">81 /500</f>
        <v>0.162</v>
      </c>
      <c r="BI114" s="16" t="s">
        <v>930</v>
      </c>
      <c r="BJ114" s="45" t="s">
        <v>587</v>
      </c>
      <c r="BK114" s="17" t="s">
        <v>135</v>
      </c>
      <c r="BL114" s="80" t="n">
        <v>44998</v>
      </c>
    </row>
    <row r="115" customFormat="false" ht="350.25" hidden="false" customHeight="false" outlineLevel="0" collapsed="false">
      <c r="A115" s="28" t="s">
        <v>22</v>
      </c>
      <c r="B115" s="28" t="s">
        <v>931</v>
      </c>
      <c r="C115" s="29" t="s">
        <v>932</v>
      </c>
      <c r="D115" s="30" t="s">
        <v>65</v>
      </c>
      <c r="E115" s="30" t="s">
        <v>66</v>
      </c>
      <c r="F115" s="30" t="n">
        <v>500</v>
      </c>
      <c r="G115" s="30" t="n">
        <v>500</v>
      </c>
      <c r="H115" s="31" t="n">
        <v>30</v>
      </c>
      <c r="I115" s="31" t="n">
        <v>15000</v>
      </c>
      <c r="J115" s="32" t="s">
        <v>933</v>
      </c>
      <c r="K115" s="49" t="n">
        <v>114</v>
      </c>
      <c r="L115" s="33" t="s">
        <v>68</v>
      </c>
      <c r="M115" s="33" t="n">
        <v>21000000148</v>
      </c>
      <c r="N115" s="34" t="s">
        <v>934</v>
      </c>
      <c r="O115" s="33" t="s">
        <v>70</v>
      </c>
      <c r="P115" s="33" t="n">
        <f aca="false">SUM(R115:AP115)</f>
        <v>2500</v>
      </c>
      <c r="Q115" s="33" t="s">
        <v>71</v>
      </c>
      <c r="R115" s="33"/>
      <c r="S115" s="33"/>
      <c r="T115" s="33"/>
      <c r="U115" s="33"/>
      <c r="V115" s="33"/>
      <c r="W115" s="33" t="n">
        <v>500</v>
      </c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0" t="n">
        <v>2000</v>
      </c>
      <c r="AJ115" s="33"/>
      <c r="AK115" s="33"/>
      <c r="AL115" s="33"/>
      <c r="AM115" s="33"/>
      <c r="AN115" s="33"/>
      <c r="AO115" s="33"/>
      <c r="AP115" s="33"/>
      <c r="AQ115" s="35" t="s">
        <v>934</v>
      </c>
      <c r="AR115" s="33" t="s">
        <v>236</v>
      </c>
      <c r="AS115" s="36" t="n">
        <f aca="false">AVERAGE(AV115,BB115,BH115)</f>
        <v>0.0340933333333333</v>
      </c>
      <c r="AT115" s="21" t="n">
        <f aca="false">(AS115*1.3)</f>
        <v>0.0443213333333333</v>
      </c>
      <c r="AU115" s="48" t="s">
        <v>128</v>
      </c>
      <c r="AV115" s="36" t="n">
        <f aca="false">16.4 /500</f>
        <v>0.0328</v>
      </c>
      <c r="AW115" s="38" t="s">
        <v>935</v>
      </c>
      <c r="AX115" s="49" t="s">
        <v>130</v>
      </c>
      <c r="AY115" s="33" t="s">
        <v>131</v>
      </c>
      <c r="AZ115" s="74" t="n">
        <v>44998</v>
      </c>
      <c r="BA115" s="44" t="s">
        <v>104</v>
      </c>
      <c r="BB115" s="36" t="n">
        <f aca="false">18.07 /500</f>
        <v>0.03614</v>
      </c>
      <c r="BC115" s="32" t="s">
        <v>936</v>
      </c>
      <c r="BD115" s="49" t="s">
        <v>420</v>
      </c>
      <c r="BE115" s="33" t="s">
        <v>110</v>
      </c>
      <c r="BF115" s="74" t="n">
        <v>44998</v>
      </c>
      <c r="BG115" s="56" t="s">
        <v>157</v>
      </c>
      <c r="BH115" s="36" t="n">
        <f aca="false">16.67/500</f>
        <v>0.03334</v>
      </c>
      <c r="BI115" s="38" t="s">
        <v>937</v>
      </c>
      <c r="BJ115" s="49" t="s">
        <v>159</v>
      </c>
      <c r="BK115" s="33" t="s">
        <v>135</v>
      </c>
      <c r="BL115" s="74" t="n">
        <v>44998</v>
      </c>
    </row>
    <row r="116" customFormat="false" ht="417.75" hidden="false" customHeight="false" outlineLevel="0" collapsed="false">
      <c r="A116" s="12" t="s">
        <v>40</v>
      </c>
      <c r="B116" s="12" t="s">
        <v>938</v>
      </c>
      <c r="C116" s="13" t="s">
        <v>939</v>
      </c>
      <c r="D116" s="14" t="s">
        <v>65</v>
      </c>
      <c r="E116" s="14" t="s">
        <v>66</v>
      </c>
      <c r="F116" s="14" t="n">
        <v>10</v>
      </c>
      <c r="G116" s="14" t="n">
        <v>6</v>
      </c>
      <c r="H116" s="15" t="n">
        <v>85</v>
      </c>
      <c r="I116" s="15" t="n">
        <v>510</v>
      </c>
      <c r="J116" s="23" t="s">
        <v>940</v>
      </c>
      <c r="K116" s="45" t="n">
        <v>115</v>
      </c>
      <c r="L116" s="17" t="s">
        <v>68</v>
      </c>
      <c r="M116" s="17" t="n">
        <v>21000000158</v>
      </c>
      <c r="N116" s="18" t="s">
        <v>941</v>
      </c>
      <c r="O116" s="17" t="s">
        <v>115</v>
      </c>
      <c r="P116" s="17" t="n">
        <f aca="false">SUM(R116:AP116)</f>
        <v>26</v>
      </c>
      <c r="Q116" s="17" t="s">
        <v>71</v>
      </c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4"/>
      <c r="AJ116" s="17"/>
      <c r="AK116" s="17"/>
      <c r="AL116" s="17"/>
      <c r="AM116" s="17"/>
      <c r="AN116" s="17"/>
      <c r="AO116" s="17" t="n">
        <v>6</v>
      </c>
      <c r="AP116" s="17" t="n">
        <v>20</v>
      </c>
      <c r="AQ116" s="19" t="s">
        <v>941</v>
      </c>
      <c r="AR116" s="17" t="s">
        <v>236</v>
      </c>
      <c r="AS116" s="20" t="n">
        <f aca="false">AVERAGE(AV116,BB116,BH116)</f>
        <v>122.08</v>
      </c>
      <c r="AT116" s="21" t="n">
        <f aca="false">(AS116*1.3)</f>
        <v>158.704</v>
      </c>
      <c r="AU116" s="48" t="s">
        <v>128</v>
      </c>
      <c r="AV116" s="20" t="n">
        <v>116.16</v>
      </c>
      <c r="AW116" s="23" t="s">
        <v>942</v>
      </c>
      <c r="AX116" s="45" t="s">
        <v>130</v>
      </c>
      <c r="AY116" s="17" t="s">
        <v>131</v>
      </c>
      <c r="AZ116" s="80" t="n">
        <v>44998</v>
      </c>
      <c r="BA116" s="44" t="s">
        <v>107</v>
      </c>
      <c r="BB116" s="20" t="n">
        <v>143.79</v>
      </c>
      <c r="BC116" s="23" t="s">
        <v>943</v>
      </c>
      <c r="BD116" s="45" t="s">
        <v>109</v>
      </c>
      <c r="BE116" s="17" t="s">
        <v>110</v>
      </c>
      <c r="BF116" s="80" t="n">
        <v>44998</v>
      </c>
      <c r="BG116" s="56" t="s">
        <v>104</v>
      </c>
      <c r="BH116" s="20" t="n">
        <v>106.29</v>
      </c>
      <c r="BI116" s="23" t="s">
        <v>944</v>
      </c>
      <c r="BJ116" s="45" t="s">
        <v>420</v>
      </c>
      <c r="BK116" s="17" t="s">
        <v>110</v>
      </c>
      <c r="BL116" s="80" t="n">
        <v>44998</v>
      </c>
    </row>
    <row r="117" customFormat="false" ht="226.5" hidden="false" customHeight="false" outlineLevel="0" collapsed="false">
      <c r="A117" s="28" t="s">
        <v>34</v>
      </c>
      <c r="B117" s="28" t="s">
        <v>945</v>
      </c>
      <c r="C117" s="29" t="s">
        <v>946</v>
      </c>
      <c r="D117" s="30" t="s">
        <v>65</v>
      </c>
      <c r="E117" s="30" t="s">
        <v>66</v>
      </c>
      <c r="F117" s="30" t="n">
        <v>1</v>
      </c>
      <c r="G117" s="30" t="n">
        <v>1</v>
      </c>
      <c r="H117" s="31" t="n">
        <v>71.56</v>
      </c>
      <c r="I117" s="31" t="n">
        <v>71.56</v>
      </c>
      <c r="J117" s="38" t="s">
        <v>947</v>
      </c>
      <c r="K117" s="49" t="n">
        <v>116</v>
      </c>
      <c r="L117" s="33" t="s">
        <v>68</v>
      </c>
      <c r="M117" s="33" t="n">
        <v>21000000160</v>
      </c>
      <c r="N117" s="34" t="s">
        <v>948</v>
      </c>
      <c r="O117" s="33" t="s">
        <v>115</v>
      </c>
      <c r="P117" s="33" t="n">
        <f aca="false">SUM(R117:AP117)</f>
        <v>10</v>
      </c>
      <c r="Q117" s="33" t="s">
        <v>71</v>
      </c>
      <c r="R117" s="33"/>
      <c r="S117" s="33"/>
      <c r="T117" s="33"/>
      <c r="U117" s="33"/>
      <c r="V117" s="33"/>
      <c r="W117" s="33"/>
      <c r="X117" s="33"/>
      <c r="Y117" s="33"/>
      <c r="Z117" s="33"/>
      <c r="AA117" s="33" t="n">
        <v>2</v>
      </c>
      <c r="AB117" s="33"/>
      <c r="AC117" s="33"/>
      <c r="AD117" s="33"/>
      <c r="AE117" s="33"/>
      <c r="AF117" s="33"/>
      <c r="AG117" s="33" t="n">
        <v>3</v>
      </c>
      <c r="AH117" s="33"/>
      <c r="AI117" s="33" t="n">
        <v>1</v>
      </c>
      <c r="AJ117" s="33"/>
      <c r="AK117" s="33" t="n">
        <v>1</v>
      </c>
      <c r="AL117" s="33"/>
      <c r="AM117" s="33"/>
      <c r="AN117" s="33"/>
      <c r="AO117" s="30" t="n">
        <v>3</v>
      </c>
      <c r="AP117" s="33"/>
      <c r="AQ117" s="35" t="s">
        <v>948</v>
      </c>
      <c r="AR117" s="33" t="s">
        <v>236</v>
      </c>
      <c r="AS117" s="36" t="n">
        <f aca="false">AVERAGE(AV117,BB117,BH117)</f>
        <v>263.65</v>
      </c>
      <c r="AT117" s="21" t="n">
        <f aca="false">(AS117*1.3)</f>
        <v>342.745</v>
      </c>
      <c r="AU117" s="48" t="s">
        <v>125</v>
      </c>
      <c r="AV117" s="36" t="n">
        <v>268.57</v>
      </c>
      <c r="AW117" s="32" t="s">
        <v>949</v>
      </c>
      <c r="AX117" s="49" t="s">
        <v>127</v>
      </c>
      <c r="AY117" s="33" t="s">
        <v>110</v>
      </c>
      <c r="AZ117" s="74" t="n">
        <v>44998</v>
      </c>
      <c r="BA117" s="44" t="s">
        <v>117</v>
      </c>
      <c r="BB117" s="36" t="n">
        <v>295</v>
      </c>
      <c r="BC117" s="38" t="s">
        <v>950</v>
      </c>
      <c r="BD117" s="49" t="s">
        <v>951</v>
      </c>
      <c r="BE117" s="33" t="s">
        <v>119</v>
      </c>
      <c r="BF117" s="74" t="n">
        <v>44998</v>
      </c>
      <c r="BG117" s="56" t="s">
        <v>157</v>
      </c>
      <c r="BH117" s="33" t="n">
        <v>227.38</v>
      </c>
      <c r="BI117" s="32" t="s">
        <v>952</v>
      </c>
      <c r="BJ117" s="49" t="s">
        <v>159</v>
      </c>
      <c r="BK117" s="33" t="s">
        <v>76</v>
      </c>
      <c r="BL117" s="74" t="n">
        <v>44998</v>
      </c>
    </row>
    <row r="118" customFormat="false" ht="181.5" hidden="false" customHeight="false" outlineLevel="0" collapsed="false">
      <c r="A118" s="12" t="s">
        <v>40</v>
      </c>
      <c r="B118" s="12" t="s">
        <v>953</v>
      </c>
      <c r="C118" s="13" t="s">
        <v>954</v>
      </c>
      <c r="D118" s="14" t="s">
        <v>65</v>
      </c>
      <c r="E118" s="14" t="s">
        <v>66</v>
      </c>
      <c r="F118" s="14" t="n">
        <v>2</v>
      </c>
      <c r="G118" s="14" t="n">
        <v>1</v>
      </c>
      <c r="H118" s="15" t="n">
        <v>117.72</v>
      </c>
      <c r="I118" s="15" t="n">
        <v>117.72</v>
      </c>
      <c r="J118" s="23" t="s">
        <v>955</v>
      </c>
      <c r="K118" s="45" t="n">
        <v>117</v>
      </c>
      <c r="L118" s="17" t="s">
        <v>68</v>
      </c>
      <c r="M118" s="17" t="n">
        <v>21000000470</v>
      </c>
      <c r="N118" s="18" t="s">
        <v>956</v>
      </c>
      <c r="O118" s="17" t="s">
        <v>115</v>
      </c>
      <c r="P118" s="17" t="n">
        <f aca="false">SUM(R118:AP118)</f>
        <v>1</v>
      </c>
      <c r="Q118" s="17" t="s">
        <v>71</v>
      </c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4" t="n">
        <v>1</v>
      </c>
      <c r="AP118" s="17"/>
      <c r="AQ118" s="19" t="s">
        <v>956</v>
      </c>
      <c r="AR118" s="17" t="s">
        <v>236</v>
      </c>
      <c r="AS118" s="20" t="n">
        <f aca="false">AVERAGE(AV118,BB118,BH118)</f>
        <v>133.213333333333</v>
      </c>
      <c r="AT118" s="21" t="n">
        <f aca="false">(AS118*1.3)</f>
        <v>173.177333333333</v>
      </c>
      <c r="AU118" s="48" t="s">
        <v>104</v>
      </c>
      <c r="AV118" s="20" t="n">
        <v>124.87</v>
      </c>
      <c r="AW118" s="16" t="s">
        <v>957</v>
      </c>
      <c r="AX118" s="45" t="s">
        <v>420</v>
      </c>
      <c r="AY118" s="17" t="s">
        <v>110</v>
      </c>
      <c r="AZ118" s="80" t="n">
        <v>44998</v>
      </c>
      <c r="BA118" s="44" t="s">
        <v>107</v>
      </c>
      <c r="BB118" s="20" t="n">
        <v>131.44</v>
      </c>
      <c r="BC118" s="23" t="s">
        <v>958</v>
      </c>
      <c r="BD118" s="45" t="s">
        <v>109</v>
      </c>
      <c r="BE118" s="17" t="s">
        <v>110</v>
      </c>
      <c r="BF118" s="80" t="n">
        <v>44998</v>
      </c>
      <c r="BG118" s="56" t="s">
        <v>157</v>
      </c>
      <c r="BH118" s="20" t="n">
        <v>143.33</v>
      </c>
      <c r="BI118" s="16" t="s">
        <v>959</v>
      </c>
      <c r="BJ118" s="45" t="s">
        <v>159</v>
      </c>
      <c r="BK118" s="17" t="s">
        <v>135</v>
      </c>
      <c r="BL118" s="80" t="n">
        <v>44998</v>
      </c>
    </row>
    <row r="119" customFormat="false" ht="361.5" hidden="false" customHeight="false" outlineLevel="0" collapsed="false">
      <c r="A119" s="28" t="s">
        <v>34</v>
      </c>
      <c r="B119" s="28" t="s">
        <v>960</v>
      </c>
      <c r="C119" s="29" t="s">
        <v>961</v>
      </c>
      <c r="D119" s="30" t="s">
        <v>65</v>
      </c>
      <c r="E119" s="30" t="s">
        <v>66</v>
      </c>
      <c r="F119" s="30" t="n">
        <v>1</v>
      </c>
      <c r="G119" s="30" t="n">
        <v>1</v>
      </c>
      <c r="H119" s="31" t="n">
        <v>29</v>
      </c>
      <c r="I119" s="31" t="n">
        <v>29</v>
      </c>
      <c r="J119" s="38" t="s">
        <v>962</v>
      </c>
      <c r="K119" s="49" t="n">
        <v>118</v>
      </c>
      <c r="L119" s="33" t="s">
        <v>68</v>
      </c>
      <c r="M119" s="33" t="n">
        <v>21000000162</v>
      </c>
      <c r="N119" s="34" t="s">
        <v>963</v>
      </c>
      <c r="O119" s="33" t="s">
        <v>115</v>
      </c>
      <c r="P119" s="33" t="n">
        <f aca="false">SUM(R119:AP119)</f>
        <v>1</v>
      </c>
      <c r="Q119" s="33" t="s">
        <v>71</v>
      </c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 t="n">
        <v>1</v>
      </c>
      <c r="AJ119" s="33"/>
      <c r="AK119" s="33"/>
      <c r="AL119" s="33"/>
      <c r="AM119" s="33"/>
      <c r="AN119" s="33"/>
      <c r="AO119" s="33"/>
      <c r="AP119" s="33"/>
      <c r="AQ119" s="35" t="s">
        <v>963</v>
      </c>
      <c r="AR119" s="33" t="s">
        <v>236</v>
      </c>
      <c r="AS119" s="36" t="n">
        <f aca="false">AVERAGE(AV119,BB119,BH119)</f>
        <v>77.7466666666667</v>
      </c>
      <c r="AT119" s="21" t="n">
        <f aca="false">(AS119*1.3)</f>
        <v>101.070666666667</v>
      </c>
      <c r="AU119" s="48" t="s">
        <v>107</v>
      </c>
      <c r="AV119" s="36" t="n">
        <v>77.2</v>
      </c>
      <c r="AW119" s="38" t="s">
        <v>964</v>
      </c>
      <c r="AX119" s="49" t="s">
        <v>109</v>
      </c>
      <c r="AY119" s="33" t="s">
        <v>110</v>
      </c>
      <c r="AZ119" s="74" t="n">
        <v>44998</v>
      </c>
      <c r="BA119" s="44" t="s">
        <v>87</v>
      </c>
      <c r="BB119" s="36" t="n">
        <v>71.34</v>
      </c>
      <c r="BC119" s="38" t="s">
        <v>965</v>
      </c>
      <c r="BD119" s="49" t="s">
        <v>610</v>
      </c>
      <c r="BE119" s="33" t="s">
        <v>90</v>
      </c>
      <c r="BF119" s="74" t="n">
        <v>44998</v>
      </c>
      <c r="BG119" s="56" t="s">
        <v>966</v>
      </c>
      <c r="BH119" s="36" t="n">
        <v>84.7</v>
      </c>
      <c r="BI119" s="32" t="s">
        <v>967</v>
      </c>
      <c r="BJ119" s="49" t="s">
        <v>968</v>
      </c>
      <c r="BK119" s="33" t="s">
        <v>135</v>
      </c>
      <c r="BL119" s="74" t="n">
        <v>44998</v>
      </c>
    </row>
    <row r="120" customFormat="false" ht="384" hidden="false" customHeight="false" outlineLevel="0" collapsed="false">
      <c r="A120" s="12" t="s">
        <v>40</v>
      </c>
      <c r="B120" s="12" t="s">
        <v>969</v>
      </c>
      <c r="C120" s="13" t="s">
        <v>970</v>
      </c>
      <c r="D120" s="14" t="s">
        <v>65</v>
      </c>
      <c r="E120" s="14" t="s">
        <v>66</v>
      </c>
      <c r="F120" s="14" t="n">
        <v>1</v>
      </c>
      <c r="G120" s="14" t="n">
        <v>10</v>
      </c>
      <c r="H120" s="15" t="n">
        <v>470.24</v>
      </c>
      <c r="I120" s="15" t="n">
        <v>470.24</v>
      </c>
      <c r="J120" s="16" t="s">
        <v>971</v>
      </c>
      <c r="K120" s="45" t="n">
        <v>119</v>
      </c>
      <c r="L120" s="17" t="s">
        <v>68</v>
      </c>
      <c r="M120" s="17" t="n">
        <v>21000000473</v>
      </c>
      <c r="N120" s="18" t="s">
        <v>972</v>
      </c>
      <c r="O120" s="17" t="s">
        <v>70</v>
      </c>
      <c r="P120" s="17" t="n">
        <f aca="false">SUM(R120:AP120)</f>
        <v>10</v>
      </c>
      <c r="Q120" s="17" t="s">
        <v>71</v>
      </c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 t="n">
        <v>10</v>
      </c>
      <c r="AP120" s="17"/>
      <c r="AQ120" s="19" t="s">
        <v>972</v>
      </c>
      <c r="AR120" s="17" t="s">
        <v>236</v>
      </c>
      <c r="AS120" s="20" t="n">
        <f aca="false">AVERAGE(AV120,BB120,BH120)</f>
        <v>104.0275</v>
      </c>
      <c r="AT120" s="20" t="n">
        <f aca="false">(AS120*1.3)</f>
        <v>135.23575</v>
      </c>
      <c r="AU120" s="45" t="s">
        <v>128</v>
      </c>
      <c r="AV120" s="20" t="n">
        <f aca="false">674.59 /5</f>
        <v>134.918</v>
      </c>
      <c r="AW120" s="16" t="s">
        <v>973</v>
      </c>
      <c r="AX120" s="45" t="s">
        <v>130</v>
      </c>
      <c r="AY120" s="17" t="s">
        <v>131</v>
      </c>
      <c r="AZ120" s="80" t="n">
        <v>44998</v>
      </c>
      <c r="BA120" s="45" t="s">
        <v>107</v>
      </c>
      <c r="BB120" s="20" t="n">
        <f aca="false">731.37/10</f>
        <v>73.137</v>
      </c>
      <c r="BC120" s="23" t="s">
        <v>974</v>
      </c>
      <c r="BD120" s="45" t="s">
        <v>109</v>
      </c>
      <c r="BE120" s="17" t="s">
        <v>110</v>
      </c>
      <c r="BF120" s="80" t="n">
        <v>44998</v>
      </c>
      <c r="BG120" s="17"/>
      <c r="BH120" s="20"/>
      <c r="BI120" s="17"/>
      <c r="BJ120" s="17"/>
      <c r="BK120" s="17"/>
      <c r="BL120" s="17"/>
    </row>
    <row r="121" customFormat="false" ht="462.75" hidden="false" customHeight="false" outlineLevel="0" collapsed="false">
      <c r="A121" s="28" t="s">
        <v>18</v>
      </c>
      <c r="B121" s="28" t="s">
        <v>975</v>
      </c>
      <c r="C121" s="29" t="s">
        <v>976</v>
      </c>
      <c r="D121" s="30" t="s">
        <v>65</v>
      </c>
      <c r="E121" s="30" t="s">
        <v>66</v>
      </c>
      <c r="F121" s="30" t="n">
        <v>500</v>
      </c>
      <c r="G121" s="30" t="n">
        <v>500</v>
      </c>
      <c r="H121" s="31" t="n">
        <v>0.13</v>
      </c>
      <c r="I121" s="31" t="n">
        <v>65</v>
      </c>
      <c r="J121" s="38" t="s">
        <v>977</v>
      </c>
      <c r="K121" s="49" t="n">
        <v>120</v>
      </c>
      <c r="L121" s="33" t="s">
        <v>68</v>
      </c>
      <c r="M121" s="33" t="n">
        <v>21000000164</v>
      </c>
      <c r="N121" s="34" t="s">
        <v>978</v>
      </c>
      <c r="O121" s="33" t="s">
        <v>70</v>
      </c>
      <c r="P121" s="33" t="n">
        <f aca="false">SUM(R121:AP121)</f>
        <v>4000</v>
      </c>
      <c r="Q121" s="33" t="s">
        <v>71</v>
      </c>
      <c r="R121" s="33"/>
      <c r="S121" s="33" t="n">
        <v>500</v>
      </c>
      <c r="T121" s="33"/>
      <c r="U121" s="33"/>
      <c r="V121" s="33"/>
      <c r="W121" s="33" t="n">
        <v>3500</v>
      </c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0"/>
      <c r="AJ121" s="33"/>
      <c r="AK121" s="33"/>
      <c r="AL121" s="33"/>
      <c r="AM121" s="33"/>
      <c r="AN121" s="33"/>
      <c r="AO121" s="33"/>
      <c r="AP121" s="33"/>
      <c r="AQ121" s="35" t="s">
        <v>978</v>
      </c>
      <c r="AR121" s="33" t="s">
        <v>236</v>
      </c>
      <c r="AS121" s="36" t="n">
        <f aca="false">AVERAGE(AV121,BB121,BH121)</f>
        <v>0.107573333333333</v>
      </c>
      <c r="AT121" s="21" t="n">
        <f aca="false">(AS121*1.3)</f>
        <v>0.139845333333333</v>
      </c>
      <c r="AU121" s="48" t="s">
        <v>128</v>
      </c>
      <c r="AV121" s="36" t="n">
        <f aca="false">50.35 /500</f>
        <v>0.1007</v>
      </c>
      <c r="AW121" s="38" t="s">
        <v>979</v>
      </c>
      <c r="AX121" s="49" t="s">
        <v>130</v>
      </c>
      <c r="AY121" s="33" t="s">
        <v>131</v>
      </c>
      <c r="AZ121" s="74" t="n">
        <v>44998</v>
      </c>
      <c r="BA121" s="44" t="s">
        <v>555</v>
      </c>
      <c r="BB121" s="36" t="n">
        <f aca="false">57.6/500</f>
        <v>0.1152</v>
      </c>
      <c r="BC121" s="38" t="s">
        <v>980</v>
      </c>
      <c r="BD121" s="49" t="s">
        <v>503</v>
      </c>
      <c r="BE121" s="33" t="s">
        <v>135</v>
      </c>
      <c r="BF121" s="74" t="n">
        <v>44998</v>
      </c>
      <c r="BG121" s="56" t="s">
        <v>104</v>
      </c>
      <c r="BH121" s="36" t="n">
        <f aca="false">53.41/500</f>
        <v>0.10682</v>
      </c>
      <c r="BI121" s="38" t="s">
        <v>981</v>
      </c>
      <c r="BJ121" s="49" t="s">
        <v>420</v>
      </c>
      <c r="BK121" s="33" t="s">
        <v>110</v>
      </c>
      <c r="BL121" s="74" t="n">
        <v>44998</v>
      </c>
    </row>
    <row r="122" customFormat="false" ht="384" hidden="false" customHeight="false" outlineLevel="0" collapsed="false">
      <c r="A122" s="12" t="s">
        <v>22</v>
      </c>
      <c r="B122" s="12" t="s">
        <v>982</v>
      </c>
      <c r="C122" s="13" t="s">
        <v>983</v>
      </c>
      <c r="D122" s="14" t="s">
        <v>65</v>
      </c>
      <c r="E122" s="14" t="s">
        <v>66</v>
      </c>
      <c r="F122" s="14" t="n">
        <v>312</v>
      </c>
      <c r="G122" s="14" t="n">
        <v>312</v>
      </c>
      <c r="H122" s="15" t="n">
        <v>30</v>
      </c>
      <c r="I122" s="15" t="n">
        <v>9360</v>
      </c>
      <c r="J122" s="23" t="s">
        <v>984</v>
      </c>
      <c r="K122" s="45" t="n">
        <v>121</v>
      </c>
      <c r="L122" s="17" t="s">
        <v>68</v>
      </c>
      <c r="M122" s="17" t="n">
        <v>21000000175</v>
      </c>
      <c r="N122" s="18" t="s">
        <v>985</v>
      </c>
      <c r="O122" s="17" t="s">
        <v>70</v>
      </c>
      <c r="P122" s="17" t="n">
        <f aca="false">SUM(R122:AP122)</f>
        <v>1025</v>
      </c>
      <c r="Q122" s="17" t="s">
        <v>71</v>
      </c>
      <c r="R122" s="17"/>
      <c r="S122" s="17"/>
      <c r="T122" s="17"/>
      <c r="U122" s="17"/>
      <c r="V122" s="17" t="n">
        <v>25</v>
      </c>
      <c r="W122" s="17" t="n">
        <v>300</v>
      </c>
      <c r="X122" s="17"/>
      <c r="Y122" s="17"/>
      <c r="Z122" s="17"/>
      <c r="AA122" s="17" t="n">
        <v>200</v>
      </c>
      <c r="AB122" s="17"/>
      <c r="AC122" s="17"/>
      <c r="AD122" s="17"/>
      <c r="AE122" s="17"/>
      <c r="AF122" s="17"/>
      <c r="AG122" s="17"/>
      <c r="AH122" s="17"/>
      <c r="AI122" s="17" t="n">
        <v>500</v>
      </c>
      <c r="AJ122" s="17"/>
      <c r="AK122" s="17"/>
      <c r="AL122" s="17"/>
      <c r="AM122" s="17"/>
      <c r="AN122" s="17"/>
      <c r="AO122" s="17"/>
      <c r="AP122" s="17"/>
      <c r="AQ122" s="19" t="s">
        <v>985</v>
      </c>
      <c r="AR122" s="17" t="s">
        <v>236</v>
      </c>
      <c r="AS122" s="20" t="n">
        <f aca="false">AVERAGE(AV122,BB122,BH122)</f>
        <v>0.834666666666667</v>
      </c>
      <c r="AT122" s="21" t="n">
        <f aca="false">(AS122*1.3)</f>
        <v>1.08506666666667</v>
      </c>
      <c r="AU122" s="48" t="s">
        <v>107</v>
      </c>
      <c r="AV122" s="20" t="n">
        <f aca="false">19.2 /25</f>
        <v>0.768</v>
      </c>
      <c r="AW122" s="23" t="s">
        <v>986</v>
      </c>
      <c r="AX122" s="45" t="s">
        <v>109</v>
      </c>
      <c r="AY122" s="17" t="s">
        <v>110</v>
      </c>
      <c r="AZ122" s="80" t="n">
        <v>44998</v>
      </c>
      <c r="BA122" s="44" t="s">
        <v>128</v>
      </c>
      <c r="BB122" s="20" t="n">
        <f aca="false">20.4 /25</f>
        <v>0.816</v>
      </c>
      <c r="BC122" s="23" t="s">
        <v>987</v>
      </c>
      <c r="BD122" s="45" t="s">
        <v>130</v>
      </c>
      <c r="BE122" s="17" t="s">
        <v>110</v>
      </c>
      <c r="BF122" s="80" t="n">
        <v>44998</v>
      </c>
      <c r="BG122" s="56" t="s">
        <v>175</v>
      </c>
      <c r="BH122" s="20" t="n">
        <f aca="false">23/25</f>
        <v>0.92</v>
      </c>
      <c r="BI122" s="23" t="s">
        <v>988</v>
      </c>
      <c r="BJ122" s="45" t="s">
        <v>587</v>
      </c>
      <c r="BK122" s="17" t="s">
        <v>98</v>
      </c>
      <c r="BL122" s="80" t="n">
        <v>44998</v>
      </c>
    </row>
    <row r="123" customFormat="false" ht="417.75" hidden="false" customHeight="false" outlineLevel="0" collapsed="false">
      <c r="A123" s="28" t="s">
        <v>34</v>
      </c>
      <c r="B123" s="28" t="s">
        <v>989</v>
      </c>
      <c r="C123" s="29" t="s">
        <v>990</v>
      </c>
      <c r="D123" s="30" t="s">
        <v>65</v>
      </c>
      <c r="E123" s="30" t="s">
        <v>66</v>
      </c>
      <c r="F123" s="30" t="n">
        <v>1</v>
      </c>
      <c r="G123" s="30" t="n">
        <v>1000</v>
      </c>
      <c r="H123" s="31" t="n">
        <v>95</v>
      </c>
      <c r="I123" s="31" t="n">
        <v>95</v>
      </c>
      <c r="J123" s="32" t="s">
        <v>991</v>
      </c>
      <c r="K123" s="49" t="n">
        <v>122</v>
      </c>
      <c r="L123" s="33" t="s">
        <v>68</v>
      </c>
      <c r="M123" s="33" t="n">
        <v>21000000207</v>
      </c>
      <c r="N123" s="34" t="s">
        <v>992</v>
      </c>
      <c r="O123" s="33" t="s">
        <v>70</v>
      </c>
      <c r="P123" s="33" t="n">
        <f aca="false">SUM(R123:AP123)</f>
        <v>1000</v>
      </c>
      <c r="Q123" s="33" t="s">
        <v>71</v>
      </c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0" t="n">
        <v>1000</v>
      </c>
      <c r="AJ123" s="33"/>
      <c r="AK123" s="33"/>
      <c r="AL123" s="33"/>
      <c r="AM123" s="33"/>
      <c r="AN123" s="33"/>
      <c r="AO123" s="33"/>
      <c r="AP123" s="33"/>
      <c r="AQ123" s="35" t="s">
        <v>992</v>
      </c>
      <c r="AR123" s="33" t="s">
        <v>236</v>
      </c>
      <c r="AS123" s="36" t="n">
        <f aca="false">AVERAGE(AV123,BB123,BH123)</f>
        <v>0.115273333333333</v>
      </c>
      <c r="AT123" s="21" t="n">
        <f aca="false">(AS123*1.3)</f>
        <v>0.149855333333333</v>
      </c>
      <c r="AU123" s="48" t="s">
        <v>107</v>
      </c>
      <c r="AV123" s="36" t="n">
        <f aca="false">101.2/1000</f>
        <v>0.1012</v>
      </c>
      <c r="AW123" s="38" t="s">
        <v>993</v>
      </c>
      <c r="AX123" s="49" t="s">
        <v>109</v>
      </c>
      <c r="AY123" s="33" t="s">
        <v>110</v>
      </c>
      <c r="AZ123" s="74" t="n">
        <v>44998</v>
      </c>
      <c r="BA123" s="44" t="s">
        <v>104</v>
      </c>
      <c r="BB123" s="36" t="n">
        <f aca="false">58.71/500</f>
        <v>0.11742</v>
      </c>
      <c r="BC123" s="38" t="s">
        <v>994</v>
      </c>
      <c r="BD123" s="49" t="s">
        <v>420</v>
      </c>
      <c r="BE123" s="33" t="s">
        <v>110</v>
      </c>
      <c r="BF123" s="74" t="n">
        <v>44998</v>
      </c>
      <c r="BG123" s="56" t="s">
        <v>128</v>
      </c>
      <c r="BH123" s="36" t="n">
        <f aca="false">63.6/500</f>
        <v>0.1272</v>
      </c>
      <c r="BI123" s="38" t="s">
        <v>995</v>
      </c>
      <c r="BJ123" s="49" t="s">
        <v>130</v>
      </c>
      <c r="BK123" s="33" t="s">
        <v>110</v>
      </c>
      <c r="BL123" s="74" t="n">
        <v>44998</v>
      </c>
    </row>
    <row r="124" customFormat="false" ht="417.75" hidden="false" customHeight="false" outlineLevel="0" collapsed="false">
      <c r="A124" s="12" t="s">
        <v>22</v>
      </c>
      <c r="B124" s="12" t="s">
        <v>996</v>
      </c>
      <c r="C124" s="13" t="s">
        <v>997</v>
      </c>
      <c r="D124" s="14" t="s">
        <v>65</v>
      </c>
      <c r="E124" s="14" t="s">
        <v>66</v>
      </c>
      <c r="F124" s="14" t="n">
        <v>1</v>
      </c>
      <c r="G124" s="14" t="n">
        <v>250</v>
      </c>
      <c r="H124" s="15" t="n">
        <v>100</v>
      </c>
      <c r="I124" s="15" t="n">
        <v>100</v>
      </c>
      <c r="J124" s="23" t="s">
        <v>998</v>
      </c>
      <c r="K124" s="45" t="n">
        <v>123</v>
      </c>
      <c r="L124" s="17" t="s">
        <v>68</v>
      </c>
      <c r="M124" s="17" t="n">
        <v>21000000178</v>
      </c>
      <c r="N124" s="18" t="s">
        <v>999</v>
      </c>
      <c r="O124" s="17" t="s">
        <v>70</v>
      </c>
      <c r="P124" s="17" t="n">
        <f aca="false">SUM(R124:AP124)</f>
        <v>500</v>
      </c>
      <c r="Q124" s="17" t="s">
        <v>71</v>
      </c>
      <c r="R124" s="17"/>
      <c r="S124" s="17"/>
      <c r="T124" s="17"/>
      <c r="U124" s="17"/>
      <c r="V124" s="17"/>
      <c r="W124" s="17" t="n">
        <v>250</v>
      </c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 t="n">
        <v>250</v>
      </c>
      <c r="AJ124" s="17"/>
      <c r="AK124" s="17"/>
      <c r="AL124" s="17"/>
      <c r="AM124" s="17"/>
      <c r="AN124" s="17"/>
      <c r="AO124" s="17"/>
      <c r="AP124" s="17"/>
      <c r="AQ124" s="19" t="s">
        <v>999</v>
      </c>
      <c r="AR124" s="17" t="s">
        <v>236</v>
      </c>
      <c r="AS124" s="20" t="n">
        <f aca="false">AVERAGE(AV124,BB124,BH124)</f>
        <v>0.271273333333333</v>
      </c>
      <c r="AT124" s="21" t="n">
        <f aca="false">(AS124*1.3)</f>
        <v>0.352655333333333</v>
      </c>
      <c r="AU124" s="48" t="s">
        <v>128</v>
      </c>
      <c r="AV124" s="20" t="n">
        <f aca="false">67.35/250</f>
        <v>0.2694</v>
      </c>
      <c r="AW124" s="23" t="s">
        <v>1000</v>
      </c>
      <c r="AX124" s="45" t="s">
        <v>130</v>
      </c>
      <c r="AY124" s="17" t="s">
        <v>131</v>
      </c>
      <c r="AZ124" s="80" t="n">
        <v>44998</v>
      </c>
      <c r="BA124" s="44" t="s">
        <v>107</v>
      </c>
      <c r="BB124" s="20" t="n">
        <f aca="false">72.19 /250</f>
        <v>0.28876</v>
      </c>
      <c r="BC124" s="23" t="s">
        <v>1001</v>
      </c>
      <c r="BD124" s="45" t="s">
        <v>109</v>
      </c>
      <c r="BE124" s="17" t="s">
        <v>110</v>
      </c>
      <c r="BF124" s="80" t="n">
        <v>44998</v>
      </c>
      <c r="BG124" s="56" t="s">
        <v>104</v>
      </c>
      <c r="BH124" s="20" t="n">
        <f aca="false">127.83 /500</f>
        <v>0.25566</v>
      </c>
      <c r="BI124" s="23" t="s">
        <v>1002</v>
      </c>
      <c r="BJ124" s="45" t="s">
        <v>420</v>
      </c>
      <c r="BK124" s="17" t="s">
        <v>110</v>
      </c>
      <c r="BL124" s="80" t="n">
        <v>44998</v>
      </c>
    </row>
    <row r="125" customFormat="false" ht="519" hidden="false" customHeight="false" outlineLevel="0" collapsed="false">
      <c r="A125" s="28" t="s">
        <v>27</v>
      </c>
      <c r="B125" s="28" t="s">
        <v>1003</v>
      </c>
      <c r="C125" s="29" t="s">
        <v>1004</v>
      </c>
      <c r="D125" s="30" t="s">
        <v>65</v>
      </c>
      <c r="E125" s="30" t="s">
        <v>66</v>
      </c>
      <c r="F125" s="30" t="n">
        <v>2</v>
      </c>
      <c r="G125" s="30" t="n">
        <v>2000</v>
      </c>
      <c r="H125" s="31" t="n">
        <v>133</v>
      </c>
      <c r="I125" s="31" t="n">
        <v>266</v>
      </c>
      <c r="J125" s="38" t="s">
        <v>1005</v>
      </c>
      <c r="K125" s="49" t="n">
        <v>124</v>
      </c>
      <c r="L125" s="33" t="s">
        <v>68</v>
      </c>
      <c r="M125" s="33" t="n">
        <v>21000000047</v>
      </c>
      <c r="N125" s="34" t="s">
        <v>1006</v>
      </c>
      <c r="O125" s="33" t="s">
        <v>70</v>
      </c>
      <c r="P125" s="33" t="n">
        <f aca="false">SUM(R125:AP125)</f>
        <v>2000</v>
      </c>
      <c r="Q125" s="33" t="s">
        <v>71</v>
      </c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 t="n">
        <v>2000</v>
      </c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5" t="s">
        <v>1006</v>
      </c>
      <c r="AR125" s="33" t="s">
        <v>236</v>
      </c>
      <c r="AS125" s="36" t="n">
        <f aca="false">AVERAGE(AV125,BB125,BH125)</f>
        <v>5.0976</v>
      </c>
      <c r="AT125" s="21" t="n">
        <f aca="false">(AS125*1.3)</f>
        <v>6.62688</v>
      </c>
      <c r="AU125" s="48" t="s">
        <v>128</v>
      </c>
      <c r="AV125" s="36" t="n">
        <f aca="false">131.87/25</f>
        <v>5.2748</v>
      </c>
      <c r="AW125" s="38" t="s">
        <v>1007</v>
      </c>
      <c r="AX125" s="49" t="s">
        <v>130</v>
      </c>
      <c r="AY125" s="33" t="s">
        <v>131</v>
      </c>
      <c r="AZ125" s="74" t="n">
        <v>44998</v>
      </c>
      <c r="BA125" s="44" t="s">
        <v>107</v>
      </c>
      <c r="BB125" s="36" t="n">
        <f aca="false">123.01/25</f>
        <v>4.9204</v>
      </c>
      <c r="BC125" s="38" t="s">
        <v>1008</v>
      </c>
      <c r="BD125" s="49" t="s">
        <v>109</v>
      </c>
      <c r="BE125" s="33" t="s">
        <v>110</v>
      </c>
      <c r="BF125" s="74" t="n">
        <v>44998</v>
      </c>
      <c r="BG125" s="11"/>
      <c r="BH125" s="36"/>
      <c r="BI125" s="33"/>
      <c r="BJ125" s="33"/>
      <c r="BK125" s="33"/>
      <c r="BL125" s="33"/>
    </row>
    <row r="126" customFormat="false" ht="406.5" hidden="false" customHeight="false" outlineLevel="0" collapsed="false">
      <c r="A126" s="12" t="s">
        <v>34</v>
      </c>
      <c r="B126" s="12" t="s">
        <v>1009</v>
      </c>
      <c r="C126" s="13" t="s">
        <v>1010</v>
      </c>
      <c r="D126" s="14" t="s">
        <v>65</v>
      </c>
      <c r="E126" s="14" t="s">
        <v>66</v>
      </c>
      <c r="F126" s="14" t="n">
        <v>100</v>
      </c>
      <c r="G126" s="14" t="n">
        <v>100</v>
      </c>
      <c r="H126" s="15" t="n">
        <v>0.5</v>
      </c>
      <c r="I126" s="15" t="n">
        <v>50</v>
      </c>
      <c r="J126" s="16" t="s">
        <v>1011</v>
      </c>
      <c r="K126" s="45" t="n">
        <v>125</v>
      </c>
      <c r="L126" s="17" t="s">
        <v>68</v>
      </c>
      <c r="M126" s="17" t="n">
        <v>21000000180</v>
      </c>
      <c r="N126" s="18" t="s">
        <v>1012</v>
      </c>
      <c r="O126" s="17" t="s">
        <v>70</v>
      </c>
      <c r="P126" s="17" t="n">
        <f aca="false">SUM(R126:AP126)</f>
        <v>100</v>
      </c>
      <c r="Q126" s="17" t="s">
        <v>71</v>
      </c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4" t="n">
        <v>100</v>
      </c>
      <c r="AJ126" s="17"/>
      <c r="AK126" s="17"/>
      <c r="AL126" s="17"/>
      <c r="AM126" s="17"/>
      <c r="AN126" s="17"/>
      <c r="AO126" s="17"/>
      <c r="AP126" s="17"/>
      <c r="AQ126" s="19" t="s">
        <v>1012</v>
      </c>
      <c r="AR126" s="17" t="s">
        <v>72</v>
      </c>
      <c r="AS126" s="20" t="n">
        <f aca="false">AVERAGE(AV126,BB126,BH126)</f>
        <v>0.57</v>
      </c>
      <c r="AT126" s="21" t="n">
        <f aca="false">(AS126*1.3)</f>
        <v>0.741</v>
      </c>
      <c r="AU126" s="84" t="s">
        <v>107</v>
      </c>
      <c r="AV126" s="20" t="n">
        <v>0.45</v>
      </c>
      <c r="AW126" s="23" t="s">
        <v>1013</v>
      </c>
      <c r="AX126" s="45" t="s">
        <v>109</v>
      </c>
      <c r="AY126" s="45" t="s">
        <v>1014</v>
      </c>
      <c r="AZ126" s="25" t="n">
        <v>44998</v>
      </c>
      <c r="BA126" s="89" t="s">
        <v>1015</v>
      </c>
      <c r="BB126" s="20" t="n">
        <v>0.69</v>
      </c>
      <c r="BC126" s="23" t="s">
        <v>1016</v>
      </c>
      <c r="BD126" s="45" t="s">
        <v>1017</v>
      </c>
      <c r="BE126" s="17" t="s">
        <v>1018</v>
      </c>
      <c r="BF126" s="25" t="n">
        <v>44998</v>
      </c>
      <c r="BG126" s="11"/>
      <c r="BH126" s="20"/>
      <c r="BI126" s="17"/>
      <c r="BJ126" s="17"/>
      <c r="BK126" s="17"/>
      <c r="BL126" s="17"/>
    </row>
    <row r="127" customFormat="false" ht="361.5" hidden="false" customHeight="false" outlineLevel="0" collapsed="false">
      <c r="A127" s="28" t="s">
        <v>18</v>
      </c>
      <c r="B127" s="28" t="s">
        <v>1019</v>
      </c>
      <c r="C127" s="29" t="s">
        <v>1020</v>
      </c>
      <c r="D127" s="30" t="s">
        <v>65</v>
      </c>
      <c r="E127" s="30" t="s">
        <v>66</v>
      </c>
      <c r="F127" s="30" t="n">
        <v>4</v>
      </c>
      <c r="G127" s="30" t="n">
        <v>4</v>
      </c>
      <c r="H127" s="31" t="n">
        <v>22.78</v>
      </c>
      <c r="I127" s="31" t="n">
        <v>91.12</v>
      </c>
      <c r="J127" s="32" t="s">
        <v>1021</v>
      </c>
      <c r="K127" s="49" t="n">
        <v>126</v>
      </c>
      <c r="L127" s="33" t="s">
        <v>68</v>
      </c>
      <c r="M127" s="33" t="n">
        <v>21000000255</v>
      </c>
      <c r="N127" s="34" t="s">
        <v>1022</v>
      </c>
      <c r="O127" s="33" t="s">
        <v>115</v>
      </c>
      <c r="P127" s="33" t="n">
        <f aca="false">SUM(R127:AP127)</f>
        <v>1014</v>
      </c>
      <c r="Q127" s="33" t="s">
        <v>71</v>
      </c>
      <c r="R127" s="33"/>
      <c r="S127" s="33" t="n">
        <v>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0"/>
      <c r="AJ127" s="33" t="n">
        <v>10</v>
      </c>
      <c r="AK127" s="33"/>
      <c r="AL127" s="33"/>
      <c r="AM127" s="33"/>
      <c r="AN127" s="33"/>
      <c r="AO127" s="33"/>
      <c r="AP127" s="33" t="n">
        <v>1000</v>
      </c>
      <c r="AQ127" s="35" t="s">
        <v>1022</v>
      </c>
      <c r="AR127" s="33" t="s">
        <v>72</v>
      </c>
      <c r="AS127" s="36" t="n">
        <f aca="false">AVERAGE(AV127,BB127,BH127)</f>
        <v>26.4333333333333</v>
      </c>
      <c r="AT127" s="21" t="n">
        <f aca="false">(AS127*1.3)</f>
        <v>34.3633333333333</v>
      </c>
      <c r="AU127" s="48" t="s">
        <v>125</v>
      </c>
      <c r="AV127" s="36" t="n">
        <v>33.83</v>
      </c>
      <c r="AW127" s="38" t="s">
        <v>1023</v>
      </c>
      <c r="AX127" s="49" t="s">
        <v>127</v>
      </c>
      <c r="AY127" s="49" t="s">
        <v>1014</v>
      </c>
      <c r="AZ127" s="40" t="n">
        <v>44998</v>
      </c>
      <c r="BA127" s="44" t="s">
        <v>171</v>
      </c>
      <c r="BB127" s="36" t="n">
        <v>20.47</v>
      </c>
      <c r="BC127" s="38" t="s">
        <v>1024</v>
      </c>
      <c r="BD127" s="49" t="s">
        <v>409</v>
      </c>
      <c r="BE127" s="33" t="s">
        <v>1025</v>
      </c>
      <c r="BF127" s="40" t="n">
        <v>44998</v>
      </c>
      <c r="BG127" s="56" t="s">
        <v>1026</v>
      </c>
      <c r="BH127" s="36" t="n">
        <v>25</v>
      </c>
      <c r="BI127" s="38" t="s">
        <v>1027</v>
      </c>
      <c r="BJ127" s="60" t="s">
        <v>1028</v>
      </c>
      <c r="BK127" s="33" t="s">
        <v>1018</v>
      </c>
      <c r="BL127" s="40" t="n">
        <v>44998</v>
      </c>
    </row>
    <row r="128" customFormat="false" ht="451.5" hidden="false" customHeight="false" outlineLevel="0" collapsed="false">
      <c r="A128" s="12" t="s">
        <v>22</v>
      </c>
      <c r="B128" s="12" t="s">
        <v>1029</v>
      </c>
      <c r="C128" s="13" t="s">
        <v>1030</v>
      </c>
      <c r="D128" s="14" t="s">
        <v>65</v>
      </c>
      <c r="E128" s="14" t="s">
        <v>66</v>
      </c>
      <c r="F128" s="14" t="n">
        <v>500</v>
      </c>
      <c r="G128" s="14" t="n">
        <v>500</v>
      </c>
      <c r="H128" s="15" t="n">
        <v>0.02</v>
      </c>
      <c r="I128" s="15" t="n">
        <v>10</v>
      </c>
      <c r="J128" s="16" t="s">
        <v>1031</v>
      </c>
      <c r="K128" s="45" t="n">
        <v>127</v>
      </c>
      <c r="L128" s="17" t="s">
        <v>68</v>
      </c>
      <c r="M128" s="17" t="n">
        <v>21000000388</v>
      </c>
      <c r="N128" s="18" t="s">
        <v>1032</v>
      </c>
      <c r="O128" s="17" t="s">
        <v>70</v>
      </c>
      <c r="P128" s="17" t="n">
        <f aca="false">SUM(R128:AP128)</f>
        <v>500</v>
      </c>
      <c r="Q128" s="17" t="s">
        <v>71</v>
      </c>
      <c r="R128" s="17"/>
      <c r="S128" s="17"/>
      <c r="T128" s="17"/>
      <c r="U128" s="17"/>
      <c r="V128" s="17"/>
      <c r="W128" s="17" t="n">
        <v>500</v>
      </c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9" t="s">
        <v>1032</v>
      </c>
      <c r="AR128" s="17" t="s">
        <v>72</v>
      </c>
      <c r="AS128" s="20" t="n">
        <f aca="false">AVERAGE(AV128,BB128,BH128)</f>
        <v>0.126666666666667</v>
      </c>
      <c r="AT128" s="21" t="n">
        <f aca="false">(AS128*1.3)</f>
        <v>0.164666666666667</v>
      </c>
      <c r="AU128" s="48" t="s">
        <v>104</v>
      </c>
      <c r="AV128" s="20" t="n">
        <v>0.11</v>
      </c>
      <c r="AW128" s="23" t="s">
        <v>1033</v>
      </c>
      <c r="AX128" s="45" t="s">
        <v>420</v>
      </c>
      <c r="AY128" s="45" t="s">
        <v>1014</v>
      </c>
      <c r="AZ128" s="25" t="n">
        <v>44998</v>
      </c>
      <c r="BA128" s="85" t="s">
        <v>87</v>
      </c>
      <c r="BB128" s="20" t="n">
        <v>0.24</v>
      </c>
      <c r="BC128" s="23" t="s">
        <v>1034</v>
      </c>
      <c r="BD128" s="45" t="s">
        <v>610</v>
      </c>
      <c r="BE128" s="45" t="s">
        <v>90</v>
      </c>
      <c r="BF128" s="25" t="n">
        <v>44998</v>
      </c>
      <c r="BG128" s="90" t="s">
        <v>157</v>
      </c>
      <c r="BH128" s="20" t="n">
        <v>0.03</v>
      </c>
      <c r="BI128" s="23" t="s">
        <v>1035</v>
      </c>
      <c r="BJ128" s="91" t="s">
        <v>159</v>
      </c>
      <c r="BK128" s="17" t="s">
        <v>94</v>
      </c>
      <c r="BL128" s="25" t="n">
        <v>44998</v>
      </c>
    </row>
    <row r="129" customFormat="false" ht="451.5" hidden="false" customHeight="false" outlineLevel="0" collapsed="false">
      <c r="A129" s="28" t="s">
        <v>34</v>
      </c>
      <c r="B129" s="28" t="s">
        <v>1036</v>
      </c>
      <c r="C129" s="29" t="s">
        <v>1037</v>
      </c>
      <c r="D129" s="30" t="s">
        <v>65</v>
      </c>
      <c r="E129" s="30" t="s">
        <v>66</v>
      </c>
      <c r="F129" s="30" t="n">
        <v>1000</v>
      </c>
      <c r="G129" s="30" t="n">
        <v>1000</v>
      </c>
      <c r="H129" s="31" t="n">
        <v>0.08</v>
      </c>
      <c r="I129" s="31" t="n">
        <v>80</v>
      </c>
      <c r="J129" s="32" t="s">
        <v>1038</v>
      </c>
      <c r="K129" s="49" t="n">
        <v>128</v>
      </c>
      <c r="L129" s="33" t="s">
        <v>68</v>
      </c>
      <c r="M129" s="33" t="n">
        <v>21000000319</v>
      </c>
      <c r="N129" s="34" t="s">
        <v>1039</v>
      </c>
      <c r="O129" s="33" t="s">
        <v>70</v>
      </c>
      <c r="P129" s="33" t="n">
        <f aca="false">SUM(R129:AP129)</f>
        <v>9500</v>
      </c>
      <c r="Q129" s="33" t="s">
        <v>71</v>
      </c>
      <c r="R129" s="33"/>
      <c r="S129" s="33"/>
      <c r="T129" s="33"/>
      <c r="U129" s="33"/>
      <c r="V129" s="33"/>
      <c r="W129" s="33" t="n">
        <v>500</v>
      </c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 t="n">
        <v>1000</v>
      </c>
      <c r="AJ129" s="33"/>
      <c r="AK129" s="33"/>
      <c r="AL129" s="33"/>
      <c r="AM129" s="33"/>
      <c r="AN129" s="33"/>
      <c r="AO129" s="33" t="n">
        <v>500</v>
      </c>
      <c r="AP129" s="33" t="n">
        <v>7500</v>
      </c>
      <c r="AQ129" s="35" t="s">
        <v>1039</v>
      </c>
      <c r="AR129" s="33" t="s">
        <v>72</v>
      </c>
      <c r="AS129" s="36" t="n">
        <f aca="false">AVERAGE(AV129,BB129,BH129)</f>
        <v>0.213333333333333</v>
      </c>
      <c r="AT129" s="21" t="n">
        <f aca="false">(AS129*1.3)</f>
        <v>0.277333333333333</v>
      </c>
      <c r="AU129" s="48" t="s">
        <v>87</v>
      </c>
      <c r="AV129" s="36" t="n">
        <v>0.2</v>
      </c>
      <c r="AW129" s="38" t="s">
        <v>1040</v>
      </c>
      <c r="AX129" s="49" t="s">
        <v>610</v>
      </c>
      <c r="AY129" s="49" t="s">
        <v>90</v>
      </c>
      <c r="AZ129" s="40" t="n">
        <v>44998</v>
      </c>
      <c r="BA129" s="44" t="s">
        <v>350</v>
      </c>
      <c r="BB129" s="36" t="n">
        <v>0.32</v>
      </c>
      <c r="BC129" s="38" t="s">
        <v>1041</v>
      </c>
      <c r="BD129" s="49" t="s">
        <v>97</v>
      </c>
      <c r="BE129" s="33" t="s">
        <v>98</v>
      </c>
      <c r="BF129" s="40" t="n">
        <v>44998</v>
      </c>
      <c r="BG129" s="56" t="s">
        <v>566</v>
      </c>
      <c r="BH129" s="36" t="n">
        <v>0.12</v>
      </c>
      <c r="BI129" s="38" t="s">
        <v>1042</v>
      </c>
      <c r="BJ129" s="49" t="s">
        <v>568</v>
      </c>
      <c r="BK129" s="33" t="s">
        <v>94</v>
      </c>
      <c r="BL129" s="40" t="n">
        <v>44998</v>
      </c>
    </row>
    <row r="130" customFormat="false" ht="485.25" hidden="false" customHeight="false" outlineLevel="0" collapsed="false">
      <c r="A130" s="12" t="s">
        <v>22</v>
      </c>
      <c r="B130" s="12" t="s">
        <v>1043</v>
      </c>
      <c r="C130" s="13" t="s">
        <v>1044</v>
      </c>
      <c r="D130" s="14" t="s">
        <v>65</v>
      </c>
      <c r="E130" s="14" t="s">
        <v>66</v>
      </c>
      <c r="F130" s="14" t="n">
        <v>1500</v>
      </c>
      <c r="G130" s="14" t="n">
        <v>1500</v>
      </c>
      <c r="H130" s="15" t="n">
        <v>0.09</v>
      </c>
      <c r="I130" s="15" t="n">
        <v>135</v>
      </c>
      <c r="J130" s="23" t="s">
        <v>1045</v>
      </c>
      <c r="K130" s="45" t="n">
        <v>129</v>
      </c>
      <c r="L130" s="17" t="s">
        <v>68</v>
      </c>
      <c r="M130" s="17" t="n">
        <v>21000000256</v>
      </c>
      <c r="N130" s="18" t="s">
        <v>1046</v>
      </c>
      <c r="O130" s="17" t="s">
        <v>70</v>
      </c>
      <c r="P130" s="17" t="n">
        <f aca="false">SUM(R130:AP130)</f>
        <v>5500</v>
      </c>
      <c r="Q130" s="17" t="s">
        <v>71</v>
      </c>
      <c r="R130" s="17"/>
      <c r="S130" s="17"/>
      <c r="T130" s="17"/>
      <c r="U130" s="17"/>
      <c r="V130" s="17"/>
      <c r="W130" s="17" t="n">
        <v>1500</v>
      </c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4" t="n">
        <v>1000</v>
      </c>
      <c r="AJ130" s="17"/>
      <c r="AK130" s="17"/>
      <c r="AL130" s="17"/>
      <c r="AM130" s="17"/>
      <c r="AN130" s="17" t="n">
        <v>1000</v>
      </c>
      <c r="AO130" s="17" t="n">
        <v>2000</v>
      </c>
      <c r="AP130" s="17"/>
      <c r="AQ130" s="19" t="s">
        <v>1046</v>
      </c>
      <c r="AR130" s="17" t="s">
        <v>72</v>
      </c>
      <c r="AS130" s="20" t="n">
        <f aca="false">AVERAGE(AV130,BB130,BH130)</f>
        <v>0.113333333333333</v>
      </c>
      <c r="AT130" s="21" t="n">
        <f aca="false">(AS130*1.3)</f>
        <v>0.147333333333333</v>
      </c>
      <c r="AU130" s="48" t="s">
        <v>87</v>
      </c>
      <c r="AV130" s="20" t="n">
        <v>0.15</v>
      </c>
      <c r="AW130" s="23" t="s">
        <v>1047</v>
      </c>
      <c r="AX130" s="45" t="s">
        <v>610</v>
      </c>
      <c r="AY130" s="45" t="s">
        <v>90</v>
      </c>
      <c r="AZ130" s="25" t="n">
        <v>44998</v>
      </c>
      <c r="BA130" s="44" t="s">
        <v>157</v>
      </c>
      <c r="BB130" s="20" t="n">
        <v>0.11</v>
      </c>
      <c r="BC130" s="23" t="s">
        <v>1048</v>
      </c>
      <c r="BD130" s="45" t="s">
        <v>159</v>
      </c>
      <c r="BE130" s="17" t="s">
        <v>94</v>
      </c>
      <c r="BF130" s="25" t="n">
        <v>44998</v>
      </c>
      <c r="BG130" s="56" t="s">
        <v>104</v>
      </c>
      <c r="BH130" s="20" t="n">
        <v>0.08</v>
      </c>
      <c r="BI130" s="23" t="s">
        <v>1049</v>
      </c>
      <c r="BJ130" s="45" t="s">
        <v>420</v>
      </c>
      <c r="BK130" s="45" t="s">
        <v>1050</v>
      </c>
      <c r="BL130" s="25" t="n">
        <v>44998</v>
      </c>
    </row>
    <row r="131" customFormat="false" ht="485.25" hidden="false" customHeight="false" outlineLevel="0" collapsed="false">
      <c r="A131" s="28" t="s">
        <v>22</v>
      </c>
      <c r="B131" s="28" t="s">
        <v>1051</v>
      </c>
      <c r="C131" s="29" t="s">
        <v>1052</v>
      </c>
      <c r="D131" s="30" t="s">
        <v>65</v>
      </c>
      <c r="E131" s="30" t="s">
        <v>66</v>
      </c>
      <c r="F131" s="30" t="n">
        <v>500</v>
      </c>
      <c r="G131" s="30" t="n">
        <v>500</v>
      </c>
      <c r="H131" s="31" t="n">
        <v>0.11</v>
      </c>
      <c r="I131" s="31" t="n">
        <v>55</v>
      </c>
      <c r="J131" s="32" t="s">
        <v>1053</v>
      </c>
      <c r="K131" s="49" t="n">
        <v>130</v>
      </c>
      <c r="L131" s="33" t="s">
        <v>68</v>
      </c>
      <c r="M131" s="33" t="n">
        <v>21000000257</v>
      </c>
      <c r="N131" s="34" t="s">
        <v>1054</v>
      </c>
      <c r="O131" s="33" t="s">
        <v>70</v>
      </c>
      <c r="P131" s="33" t="n">
        <f aca="false">SUM(R131:AP131)</f>
        <v>7500</v>
      </c>
      <c r="Q131" s="33" t="s">
        <v>71</v>
      </c>
      <c r="R131" s="33"/>
      <c r="S131" s="33"/>
      <c r="T131" s="33"/>
      <c r="U131" s="33"/>
      <c r="V131" s="33"/>
      <c r="W131" s="33" t="n">
        <v>500</v>
      </c>
      <c r="X131" s="33"/>
      <c r="Y131" s="33"/>
      <c r="Z131" s="33" t="n">
        <v>1000</v>
      </c>
      <c r="AA131" s="33"/>
      <c r="AB131" s="33"/>
      <c r="AC131" s="33"/>
      <c r="AD131" s="33"/>
      <c r="AE131" s="33"/>
      <c r="AF131" s="33"/>
      <c r="AG131" s="33"/>
      <c r="AH131" s="33"/>
      <c r="AI131" s="33" t="n">
        <v>1000</v>
      </c>
      <c r="AJ131" s="33"/>
      <c r="AK131" s="33"/>
      <c r="AL131" s="33"/>
      <c r="AM131" s="33"/>
      <c r="AN131" s="33" t="n">
        <v>5000</v>
      </c>
      <c r="AO131" s="33"/>
      <c r="AP131" s="33"/>
      <c r="AQ131" s="35" t="s">
        <v>1054</v>
      </c>
      <c r="AR131" s="33" t="s">
        <v>72</v>
      </c>
      <c r="AS131" s="36" t="n">
        <f aca="false">AVERAGE(AV131,BB131,BH131)</f>
        <v>0.165</v>
      </c>
      <c r="AT131" s="21" t="n">
        <f aca="false">(AS131*1.3)</f>
        <v>0.2145</v>
      </c>
      <c r="AU131" s="48" t="s">
        <v>87</v>
      </c>
      <c r="AV131" s="36" t="n">
        <v>0.25</v>
      </c>
      <c r="AW131" s="38" t="s">
        <v>1055</v>
      </c>
      <c r="AX131" s="49" t="s">
        <v>610</v>
      </c>
      <c r="AY131" s="49" t="s">
        <v>90</v>
      </c>
      <c r="AZ131" s="40" t="n">
        <v>44998</v>
      </c>
      <c r="BA131" s="92" t="s">
        <v>1056</v>
      </c>
      <c r="BB131" s="36" t="n">
        <v>0.08</v>
      </c>
      <c r="BC131" s="38" t="s">
        <v>1057</v>
      </c>
      <c r="BD131" s="49" t="s">
        <v>1058</v>
      </c>
      <c r="BE131" s="49" t="s">
        <v>1018</v>
      </c>
      <c r="BF131" s="40" t="n">
        <v>44998</v>
      </c>
      <c r="BG131" s="11"/>
      <c r="BH131" s="36"/>
      <c r="BI131" s="33"/>
      <c r="BJ131" s="33"/>
      <c r="BK131" s="33"/>
      <c r="BL131" s="40"/>
    </row>
    <row r="132" customFormat="false" ht="474" hidden="false" customHeight="false" outlineLevel="0" collapsed="false">
      <c r="A132" s="12" t="s">
        <v>22</v>
      </c>
      <c r="B132" s="12" t="s">
        <v>1059</v>
      </c>
      <c r="C132" s="13" t="s">
        <v>1060</v>
      </c>
      <c r="D132" s="14" t="s">
        <v>65</v>
      </c>
      <c r="E132" s="14" t="s">
        <v>66</v>
      </c>
      <c r="F132" s="14" t="n">
        <v>500</v>
      </c>
      <c r="G132" s="14" t="n">
        <v>500</v>
      </c>
      <c r="H132" s="15" t="n">
        <v>0.12</v>
      </c>
      <c r="I132" s="15" t="n">
        <v>60</v>
      </c>
      <c r="J132" s="16" t="s">
        <v>1061</v>
      </c>
      <c r="K132" s="45" t="n">
        <v>131</v>
      </c>
      <c r="L132" s="17" t="s">
        <v>68</v>
      </c>
      <c r="M132" s="17" t="n">
        <v>21000000391</v>
      </c>
      <c r="N132" s="18" t="s">
        <v>1062</v>
      </c>
      <c r="O132" s="17" t="s">
        <v>70</v>
      </c>
      <c r="P132" s="17" t="n">
        <f aca="false">SUM(R132:AP132)</f>
        <v>500</v>
      </c>
      <c r="Q132" s="17" t="s">
        <v>71</v>
      </c>
      <c r="R132" s="17"/>
      <c r="S132" s="17"/>
      <c r="T132" s="17"/>
      <c r="U132" s="17"/>
      <c r="V132" s="17"/>
      <c r="W132" s="17" t="n">
        <v>500</v>
      </c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9" t="s">
        <v>1062</v>
      </c>
      <c r="AR132" s="17" t="s">
        <v>72</v>
      </c>
      <c r="AS132" s="20" t="n">
        <f aca="false">AVERAGE(AV132,BB132,BH132)</f>
        <v>0.166666666666667</v>
      </c>
      <c r="AT132" s="21" t="n">
        <f aca="false">(AS132*1.3)</f>
        <v>0.216666666666667</v>
      </c>
      <c r="AU132" s="48" t="s">
        <v>87</v>
      </c>
      <c r="AV132" s="20" t="n">
        <v>0.11</v>
      </c>
      <c r="AW132" s="23" t="s">
        <v>1063</v>
      </c>
      <c r="AX132" s="45" t="s">
        <v>610</v>
      </c>
      <c r="AY132" s="45" t="s">
        <v>90</v>
      </c>
      <c r="AZ132" s="25" t="n">
        <v>44998</v>
      </c>
      <c r="BA132" s="44" t="s">
        <v>350</v>
      </c>
      <c r="BB132" s="20" t="n">
        <v>0.14</v>
      </c>
      <c r="BC132" s="23" t="s">
        <v>1064</v>
      </c>
      <c r="BD132" s="45" t="s">
        <v>97</v>
      </c>
      <c r="BE132" s="17" t="s">
        <v>98</v>
      </c>
      <c r="BF132" s="25" t="n">
        <v>44998</v>
      </c>
      <c r="BG132" s="56" t="s">
        <v>737</v>
      </c>
      <c r="BH132" s="20" t="n">
        <v>0.25</v>
      </c>
      <c r="BI132" s="23" t="s">
        <v>1065</v>
      </c>
      <c r="BJ132" s="45" t="s">
        <v>739</v>
      </c>
      <c r="BK132" s="17" t="s">
        <v>1018</v>
      </c>
      <c r="BL132" s="25" t="n">
        <v>44998</v>
      </c>
    </row>
    <row r="133" customFormat="false" ht="339" hidden="false" customHeight="false" outlineLevel="0" collapsed="false">
      <c r="A133" s="28" t="s">
        <v>22</v>
      </c>
      <c r="B133" s="28" t="s">
        <v>1066</v>
      </c>
      <c r="C133" s="29" t="s">
        <v>1067</v>
      </c>
      <c r="D133" s="30" t="s">
        <v>65</v>
      </c>
      <c r="E133" s="30" t="s">
        <v>66</v>
      </c>
      <c r="F133" s="30" t="n">
        <v>504</v>
      </c>
      <c r="G133" s="30" t="n">
        <v>504</v>
      </c>
      <c r="H133" s="31" t="n">
        <v>0.06</v>
      </c>
      <c r="I133" s="31" t="n">
        <v>30.24</v>
      </c>
      <c r="J133" s="38" t="s">
        <v>1068</v>
      </c>
      <c r="K133" s="49" t="n">
        <v>132</v>
      </c>
      <c r="L133" s="33" t="s">
        <v>68</v>
      </c>
      <c r="M133" s="33" t="n">
        <v>21000000389</v>
      </c>
      <c r="N133" s="34" t="s">
        <v>1069</v>
      </c>
      <c r="O133" s="33" t="s">
        <v>703</v>
      </c>
      <c r="P133" s="33" t="n">
        <f aca="false">SUM(R133:AP133)</f>
        <v>2</v>
      </c>
      <c r="Q133" s="33" t="s">
        <v>71</v>
      </c>
      <c r="R133" s="33"/>
      <c r="S133" s="33"/>
      <c r="T133" s="33"/>
      <c r="U133" s="33"/>
      <c r="V133" s="33"/>
      <c r="W133" s="33" t="n">
        <v>1</v>
      </c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 t="n">
        <v>1</v>
      </c>
      <c r="AJ133" s="33"/>
      <c r="AK133" s="33"/>
      <c r="AL133" s="33"/>
      <c r="AM133" s="33"/>
      <c r="AN133" s="33"/>
      <c r="AO133" s="33"/>
      <c r="AP133" s="33"/>
      <c r="AQ133" s="35" t="s">
        <v>1069</v>
      </c>
      <c r="AR133" s="33" t="s">
        <v>72</v>
      </c>
      <c r="AS133" s="36" t="n">
        <f aca="false">AVERAGE(AV133,BB133,BH133)</f>
        <v>69.89</v>
      </c>
      <c r="AT133" s="21" t="n">
        <f aca="false">(AS133*1.3)</f>
        <v>90.857</v>
      </c>
      <c r="AU133" s="48" t="s">
        <v>87</v>
      </c>
      <c r="AV133" s="36" t="n">
        <v>81.87</v>
      </c>
      <c r="AW133" s="38" t="s">
        <v>1070</v>
      </c>
      <c r="AX133" s="49" t="s">
        <v>610</v>
      </c>
      <c r="AY133" s="49" t="s">
        <v>90</v>
      </c>
      <c r="AZ133" s="40" t="n">
        <v>44998</v>
      </c>
      <c r="BA133" s="44" t="s">
        <v>555</v>
      </c>
      <c r="BB133" s="36" t="n">
        <v>55.8</v>
      </c>
      <c r="BC133" s="38" t="s">
        <v>1071</v>
      </c>
      <c r="BD133" s="49" t="s">
        <v>503</v>
      </c>
      <c r="BE133" s="33" t="s">
        <v>1018</v>
      </c>
      <c r="BF133" s="40" t="n">
        <v>44998</v>
      </c>
      <c r="BG133" s="56" t="s">
        <v>287</v>
      </c>
      <c r="BH133" s="36" t="n">
        <v>72</v>
      </c>
      <c r="BI133" s="38" t="s">
        <v>1072</v>
      </c>
      <c r="BJ133" s="49" t="s">
        <v>134</v>
      </c>
      <c r="BK133" s="33" t="s">
        <v>94</v>
      </c>
      <c r="BL133" s="40" t="n">
        <v>44998</v>
      </c>
    </row>
    <row r="134" customFormat="false" ht="350.25" hidden="false" customHeight="false" outlineLevel="0" collapsed="false">
      <c r="A134" s="12" t="s">
        <v>18</v>
      </c>
      <c r="B134" s="12" t="s">
        <v>1073</v>
      </c>
      <c r="C134" s="13" t="s">
        <v>1074</v>
      </c>
      <c r="D134" s="14" t="s">
        <v>65</v>
      </c>
      <c r="E134" s="14" t="s">
        <v>66</v>
      </c>
      <c r="F134" s="14" t="n">
        <v>1</v>
      </c>
      <c r="G134" s="14" t="n">
        <v>1</v>
      </c>
      <c r="H134" s="15" t="n">
        <v>41.33</v>
      </c>
      <c r="I134" s="15" t="n">
        <v>41.33</v>
      </c>
      <c r="J134" s="16" t="s">
        <v>1075</v>
      </c>
      <c r="K134" s="45" t="n">
        <v>133</v>
      </c>
      <c r="L134" s="17" t="s">
        <v>68</v>
      </c>
      <c r="M134" s="17" t="n">
        <v>21000000187</v>
      </c>
      <c r="N134" s="18" t="s">
        <v>1076</v>
      </c>
      <c r="O134" s="17" t="s">
        <v>115</v>
      </c>
      <c r="P134" s="17" t="n">
        <f aca="false">SUM(R134:AP134)</f>
        <v>8</v>
      </c>
      <c r="Q134" s="17" t="s">
        <v>71</v>
      </c>
      <c r="R134" s="17"/>
      <c r="S134" s="17" t="n">
        <v>1</v>
      </c>
      <c r="T134" s="17"/>
      <c r="U134" s="17"/>
      <c r="V134" s="17"/>
      <c r="W134" s="17" t="n">
        <v>7</v>
      </c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9" t="s">
        <v>1076</v>
      </c>
      <c r="AR134" s="17" t="s">
        <v>72</v>
      </c>
      <c r="AS134" s="20" t="n">
        <f aca="false">AVERAGE(AV134,BB134,BH134)</f>
        <v>66.43</v>
      </c>
      <c r="AT134" s="21" t="n">
        <f aca="false">(AS134*1.3)</f>
        <v>86.359</v>
      </c>
      <c r="AU134" s="93" t="s">
        <v>1077</v>
      </c>
      <c r="AV134" s="20" t="n">
        <v>64</v>
      </c>
      <c r="AW134" s="23" t="s">
        <v>1078</v>
      </c>
      <c r="AX134" s="45" t="s">
        <v>1079</v>
      </c>
      <c r="AY134" s="17" t="s">
        <v>98</v>
      </c>
      <c r="AZ134" s="25" t="n">
        <v>44998</v>
      </c>
      <c r="BA134" s="44" t="s">
        <v>566</v>
      </c>
      <c r="BB134" s="20" t="n">
        <v>90</v>
      </c>
      <c r="BC134" s="23" t="s">
        <v>1080</v>
      </c>
      <c r="BD134" s="45" t="s">
        <v>568</v>
      </c>
      <c r="BE134" s="45" t="s">
        <v>94</v>
      </c>
      <c r="BF134" s="25" t="n">
        <v>44998</v>
      </c>
      <c r="BG134" s="56" t="s">
        <v>839</v>
      </c>
      <c r="BH134" s="20" t="n">
        <v>45.29</v>
      </c>
      <c r="BI134" s="23" t="s">
        <v>1081</v>
      </c>
      <c r="BJ134" s="45" t="s">
        <v>841</v>
      </c>
      <c r="BK134" s="17" t="s">
        <v>94</v>
      </c>
      <c r="BL134" s="25" t="n">
        <v>44998</v>
      </c>
    </row>
    <row r="135" customFormat="false" ht="294" hidden="false" customHeight="false" outlineLevel="0" collapsed="false">
      <c r="A135" s="28" t="s">
        <v>21</v>
      </c>
      <c r="B135" s="28" t="s">
        <v>1082</v>
      </c>
      <c r="C135" s="29" t="s">
        <v>1083</v>
      </c>
      <c r="D135" s="30" t="s">
        <v>65</v>
      </c>
      <c r="E135" s="30" t="s">
        <v>66</v>
      </c>
      <c r="F135" s="30" t="n">
        <v>6</v>
      </c>
      <c r="G135" s="30" t="n">
        <v>6</v>
      </c>
      <c r="H135" s="31" t="n">
        <v>77</v>
      </c>
      <c r="I135" s="31" t="n">
        <v>462</v>
      </c>
      <c r="J135" s="32" t="s">
        <v>1084</v>
      </c>
      <c r="K135" s="49" t="n">
        <v>134</v>
      </c>
      <c r="L135" s="33" t="s">
        <v>68</v>
      </c>
      <c r="M135" s="33" t="n">
        <v>21000000520</v>
      </c>
      <c r="N135" s="34" t="s">
        <v>1085</v>
      </c>
      <c r="O135" s="33" t="s">
        <v>115</v>
      </c>
      <c r="P135" s="33" t="n">
        <f aca="false">SUM(R135:AP135)</f>
        <v>106</v>
      </c>
      <c r="Q135" s="33" t="s">
        <v>71</v>
      </c>
      <c r="R135" s="33"/>
      <c r="S135" s="33"/>
      <c r="T135" s="33"/>
      <c r="U135" s="33"/>
      <c r="V135" s="33" t="n">
        <v>6</v>
      </c>
      <c r="W135" s="33"/>
      <c r="X135" s="33" t="n">
        <v>100</v>
      </c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5" t="s">
        <v>1085</v>
      </c>
      <c r="AR135" s="33" t="s">
        <v>72</v>
      </c>
      <c r="AS135" s="36" t="n">
        <f aca="false">AVERAGE(AV135,BB135,BH135)</f>
        <v>59.7266666666667</v>
      </c>
      <c r="AT135" s="21" t="n">
        <f aca="false">(AS135*1.3)</f>
        <v>77.6446666666667</v>
      </c>
      <c r="AU135" s="48" t="s">
        <v>91</v>
      </c>
      <c r="AV135" s="36" t="n">
        <v>68.4</v>
      </c>
      <c r="AW135" s="33" t="s">
        <v>1086</v>
      </c>
      <c r="AX135" s="49" t="s">
        <v>503</v>
      </c>
      <c r="AY135" s="33" t="s">
        <v>1018</v>
      </c>
      <c r="AZ135" s="40" t="n">
        <v>44998</v>
      </c>
      <c r="BA135" s="44" t="s">
        <v>125</v>
      </c>
      <c r="BB135" s="36" t="n">
        <v>70.98</v>
      </c>
      <c r="BC135" s="38" t="s">
        <v>1087</v>
      </c>
      <c r="BD135" s="49" t="s">
        <v>127</v>
      </c>
      <c r="BE135" s="60" t="s">
        <v>110</v>
      </c>
      <c r="BF135" s="40" t="n">
        <v>44998</v>
      </c>
      <c r="BG135" s="56" t="s">
        <v>171</v>
      </c>
      <c r="BH135" s="36" t="n">
        <v>39.8</v>
      </c>
      <c r="BI135" s="38" t="s">
        <v>1088</v>
      </c>
      <c r="BJ135" s="49" t="s">
        <v>409</v>
      </c>
      <c r="BK135" s="33" t="s">
        <v>173</v>
      </c>
      <c r="BL135" s="40" t="n">
        <v>44998</v>
      </c>
    </row>
    <row r="136" customFormat="false" ht="440.25" hidden="false" customHeight="false" outlineLevel="0" collapsed="false">
      <c r="A136" s="12" t="s">
        <v>34</v>
      </c>
      <c r="B136" s="12" t="s">
        <v>1089</v>
      </c>
      <c r="C136" s="13" t="s">
        <v>1090</v>
      </c>
      <c r="D136" s="14" t="s">
        <v>65</v>
      </c>
      <c r="E136" s="14" t="s">
        <v>66</v>
      </c>
      <c r="F136" s="14" t="n">
        <v>500</v>
      </c>
      <c r="G136" s="14" t="n">
        <v>500</v>
      </c>
      <c r="H136" s="15" t="n">
        <v>1</v>
      </c>
      <c r="I136" s="15" t="n">
        <v>500</v>
      </c>
      <c r="J136" s="23" t="s">
        <v>1091</v>
      </c>
      <c r="K136" s="45" t="n">
        <v>135</v>
      </c>
      <c r="L136" s="17" t="s">
        <v>68</v>
      </c>
      <c r="M136" s="17" t="n">
        <v>21000000343</v>
      </c>
      <c r="N136" s="18" t="s">
        <v>1092</v>
      </c>
      <c r="O136" s="17" t="s">
        <v>70</v>
      </c>
      <c r="P136" s="17" t="n">
        <f aca="false">SUM(R136:AP136)</f>
        <v>500</v>
      </c>
      <c r="Q136" s="17" t="s">
        <v>71</v>
      </c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 t="n">
        <v>500</v>
      </c>
      <c r="AJ136" s="17"/>
      <c r="AK136" s="17"/>
      <c r="AL136" s="17"/>
      <c r="AM136" s="17"/>
      <c r="AN136" s="17"/>
      <c r="AO136" s="17"/>
      <c r="AP136" s="17"/>
      <c r="AQ136" s="19" t="s">
        <v>1092</v>
      </c>
      <c r="AR136" s="17" t="s">
        <v>72</v>
      </c>
      <c r="AS136" s="20" t="n">
        <f aca="false">AVERAGE(AV136,BB136,BH136)</f>
        <v>0.203333333333333</v>
      </c>
      <c r="AT136" s="21" t="n">
        <f aca="false">(AS136*1.3)</f>
        <v>0.264333333333333</v>
      </c>
      <c r="AU136" s="48" t="s">
        <v>107</v>
      </c>
      <c r="AV136" s="20" t="n">
        <v>0.2</v>
      </c>
      <c r="AW136" s="23" t="s">
        <v>1093</v>
      </c>
      <c r="AX136" s="45" t="s">
        <v>109</v>
      </c>
      <c r="AY136" s="45" t="s">
        <v>1014</v>
      </c>
      <c r="AZ136" s="25" t="n">
        <v>44998</v>
      </c>
      <c r="BA136" s="44" t="s">
        <v>1094</v>
      </c>
      <c r="BB136" s="20" t="n">
        <v>0.15</v>
      </c>
      <c r="BC136" s="23" t="s">
        <v>1095</v>
      </c>
      <c r="BD136" s="45" t="s">
        <v>1096</v>
      </c>
      <c r="BE136" s="17" t="s">
        <v>98</v>
      </c>
      <c r="BF136" s="25" t="n">
        <v>44998</v>
      </c>
      <c r="BG136" s="56" t="s">
        <v>125</v>
      </c>
      <c r="BH136" s="20" t="n">
        <v>0.26</v>
      </c>
      <c r="BI136" s="23" t="s">
        <v>1097</v>
      </c>
      <c r="BJ136" s="45" t="s">
        <v>127</v>
      </c>
      <c r="BK136" s="17" t="s">
        <v>253</v>
      </c>
      <c r="BL136" s="25" t="n">
        <v>44998</v>
      </c>
    </row>
    <row r="137" customFormat="false" ht="395.25" hidden="false" customHeight="false" outlineLevel="0" collapsed="false">
      <c r="A137" s="28" t="s">
        <v>21</v>
      </c>
      <c r="B137" s="28" t="s">
        <v>1098</v>
      </c>
      <c r="C137" s="29" t="s">
        <v>1099</v>
      </c>
      <c r="D137" s="30" t="s">
        <v>65</v>
      </c>
      <c r="E137" s="30" t="s">
        <v>66</v>
      </c>
      <c r="F137" s="30" t="n">
        <v>3000</v>
      </c>
      <c r="G137" s="30" t="n">
        <v>6000</v>
      </c>
      <c r="H137" s="31" t="n">
        <v>44</v>
      </c>
      <c r="I137" s="31" t="n">
        <v>264</v>
      </c>
      <c r="J137" s="32" t="s">
        <v>1100</v>
      </c>
      <c r="K137" s="49" t="n">
        <v>136</v>
      </c>
      <c r="L137" s="33" t="s">
        <v>68</v>
      </c>
      <c r="M137" s="33" t="n">
        <v>21000000138</v>
      </c>
      <c r="N137" s="34" t="s">
        <v>1101</v>
      </c>
      <c r="O137" s="33" t="s">
        <v>70</v>
      </c>
      <c r="P137" s="33" t="n">
        <f aca="false">SUM(R137:AP137)</f>
        <v>11000</v>
      </c>
      <c r="Q137" s="33" t="s">
        <v>71</v>
      </c>
      <c r="R137" s="33"/>
      <c r="S137" s="33" t="n">
        <v>2000</v>
      </c>
      <c r="T137" s="33"/>
      <c r="U137" s="33"/>
      <c r="V137" s="33" t="n">
        <v>6000</v>
      </c>
      <c r="W137" s="33"/>
      <c r="X137" s="33" t="n">
        <v>2000</v>
      </c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 t="n">
        <v>1000</v>
      </c>
      <c r="AP137" s="33"/>
      <c r="AQ137" s="35" t="s">
        <v>1101</v>
      </c>
      <c r="AR137" s="33" t="s">
        <v>72</v>
      </c>
      <c r="AS137" s="36" t="n">
        <f aca="false">AVERAGE(AV137,BB137,BH137)</f>
        <v>0.193333333333333</v>
      </c>
      <c r="AT137" s="21" t="n">
        <f aca="false">(AS137*1.3)</f>
        <v>0.251333333333333</v>
      </c>
      <c r="AU137" s="48" t="s">
        <v>287</v>
      </c>
      <c r="AV137" s="36" t="n">
        <v>0.08</v>
      </c>
      <c r="AW137" s="38" t="s">
        <v>1102</v>
      </c>
      <c r="AX137" s="49" t="s">
        <v>134</v>
      </c>
      <c r="AY137" s="33" t="s">
        <v>731</v>
      </c>
      <c r="AZ137" s="40" t="n">
        <v>44998</v>
      </c>
      <c r="BA137" s="44" t="s">
        <v>128</v>
      </c>
      <c r="BB137" s="36" t="n">
        <v>0.44</v>
      </c>
      <c r="BC137" s="38" t="s">
        <v>1103</v>
      </c>
      <c r="BD137" s="49" t="s">
        <v>1058</v>
      </c>
      <c r="BE137" s="33" t="s">
        <v>1018</v>
      </c>
      <c r="BF137" s="40" t="n">
        <v>44998</v>
      </c>
      <c r="BG137" s="56" t="s">
        <v>87</v>
      </c>
      <c r="BH137" s="36" t="n">
        <v>0.06</v>
      </c>
      <c r="BI137" s="38" t="s">
        <v>1104</v>
      </c>
      <c r="BJ137" s="49" t="s">
        <v>610</v>
      </c>
      <c r="BK137" s="33" t="s">
        <v>90</v>
      </c>
      <c r="BL137" s="40" t="n">
        <v>44998</v>
      </c>
    </row>
    <row r="138" customFormat="false" ht="339" hidden="false" customHeight="false" outlineLevel="0" collapsed="false">
      <c r="A138" s="12" t="s">
        <v>22</v>
      </c>
      <c r="B138" s="12" t="s">
        <v>1105</v>
      </c>
      <c r="C138" s="13" t="s">
        <v>1106</v>
      </c>
      <c r="D138" s="14" t="s">
        <v>65</v>
      </c>
      <c r="E138" s="14" t="s">
        <v>66</v>
      </c>
      <c r="F138" s="14" t="n">
        <v>7</v>
      </c>
      <c r="G138" s="14" t="n">
        <v>7</v>
      </c>
      <c r="H138" s="15" t="n">
        <v>136</v>
      </c>
      <c r="I138" s="15" t="n">
        <v>952</v>
      </c>
      <c r="J138" s="23" t="s">
        <v>1107</v>
      </c>
      <c r="K138" s="45" t="n">
        <v>137</v>
      </c>
      <c r="L138" s="17" t="s">
        <v>68</v>
      </c>
      <c r="M138" s="17" t="n">
        <v>21000000190</v>
      </c>
      <c r="N138" s="18" t="s">
        <v>1108</v>
      </c>
      <c r="O138" s="17" t="s">
        <v>115</v>
      </c>
      <c r="P138" s="17" t="n">
        <f aca="false">SUM(R138:AP138)</f>
        <v>7</v>
      </c>
      <c r="Q138" s="17" t="s">
        <v>71</v>
      </c>
      <c r="R138" s="17"/>
      <c r="S138" s="17"/>
      <c r="T138" s="17"/>
      <c r="U138" s="17"/>
      <c r="V138" s="17"/>
      <c r="W138" s="17" t="n">
        <v>7</v>
      </c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9" t="s">
        <v>1108</v>
      </c>
      <c r="AR138" s="17" t="s">
        <v>72</v>
      </c>
      <c r="AS138" s="20" t="n">
        <f aca="false">AVERAGE(AV138,BB138,BH138)</f>
        <v>162.815</v>
      </c>
      <c r="AT138" s="21" t="n">
        <f aca="false">(AS138*1.3)</f>
        <v>211.6595</v>
      </c>
      <c r="AU138" s="48" t="s">
        <v>107</v>
      </c>
      <c r="AV138" s="20" t="n">
        <v>131.7</v>
      </c>
      <c r="AW138" s="23" t="s">
        <v>1109</v>
      </c>
      <c r="AX138" s="45" t="s">
        <v>109</v>
      </c>
      <c r="AY138" s="45" t="s">
        <v>1014</v>
      </c>
      <c r="AZ138" s="25" t="n">
        <v>44998</v>
      </c>
      <c r="BA138" s="92" t="s">
        <v>1056</v>
      </c>
      <c r="BB138" s="20" t="n">
        <v>193.93</v>
      </c>
      <c r="BC138" s="23" t="s">
        <v>1110</v>
      </c>
      <c r="BD138" s="45" t="s">
        <v>1058</v>
      </c>
      <c r="BE138" s="17" t="s">
        <v>1018</v>
      </c>
      <c r="BF138" s="25" t="n">
        <v>44998</v>
      </c>
      <c r="BG138" s="11"/>
      <c r="BH138" s="20"/>
      <c r="BI138" s="17"/>
      <c r="BJ138" s="17"/>
      <c r="BK138" s="17"/>
      <c r="BL138" s="17"/>
    </row>
    <row r="139" customFormat="false" ht="294" hidden="false" customHeight="false" outlineLevel="0" collapsed="false">
      <c r="A139" s="28" t="s">
        <v>22</v>
      </c>
      <c r="B139" s="28" t="s">
        <v>1111</v>
      </c>
      <c r="C139" s="29" t="n">
        <v>354574</v>
      </c>
      <c r="D139" s="30" t="s">
        <v>65</v>
      </c>
      <c r="E139" s="30" t="s">
        <v>66</v>
      </c>
      <c r="F139" s="30" t="n">
        <v>24</v>
      </c>
      <c r="G139" s="30" t="n">
        <v>24</v>
      </c>
      <c r="H139" s="31" t="n">
        <v>10</v>
      </c>
      <c r="I139" s="31" t="n">
        <v>240</v>
      </c>
      <c r="J139" s="32" t="s">
        <v>1112</v>
      </c>
      <c r="K139" s="49" t="n">
        <v>138</v>
      </c>
      <c r="L139" s="33" t="s">
        <v>68</v>
      </c>
      <c r="M139" s="33" t="n">
        <v>21000000191</v>
      </c>
      <c r="N139" s="34" t="s">
        <v>1113</v>
      </c>
      <c r="O139" s="33" t="s">
        <v>115</v>
      </c>
      <c r="P139" s="33" t="n">
        <f aca="false">SUM(R139:AP139)</f>
        <v>44</v>
      </c>
      <c r="Q139" s="33" t="s">
        <v>71</v>
      </c>
      <c r="R139" s="33"/>
      <c r="S139" s="33"/>
      <c r="T139" s="33"/>
      <c r="U139" s="33"/>
      <c r="V139" s="33"/>
      <c r="W139" s="33" t="n">
        <v>24</v>
      </c>
      <c r="X139" s="33"/>
      <c r="Y139" s="33" t="n">
        <v>10</v>
      </c>
      <c r="Z139" s="33"/>
      <c r="AA139" s="33"/>
      <c r="AB139" s="33"/>
      <c r="AC139" s="33"/>
      <c r="AD139" s="33"/>
      <c r="AE139" s="33"/>
      <c r="AF139" s="33"/>
      <c r="AG139" s="33"/>
      <c r="AH139" s="33"/>
      <c r="AI139" s="30"/>
      <c r="AJ139" s="33"/>
      <c r="AK139" s="33"/>
      <c r="AL139" s="33"/>
      <c r="AM139" s="33"/>
      <c r="AN139" s="33"/>
      <c r="AO139" s="33" t="n">
        <v>10</v>
      </c>
      <c r="AP139" s="33"/>
      <c r="AQ139" s="35" t="s">
        <v>1113</v>
      </c>
      <c r="AR139" s="33" t="s">
        <v>72</v>
      </c>
      <c r="AS139" s="36" t="n">
        <f aca="false">AVERAGE(AV139,BB139,BH139)</f>
        <v>203.923333333333</v>
      </c>
      <c r="AT139" s="21" t="n">
        <f aca="false">(AS139*1.3)</f>
        <v>265.100333333333</v>
      </c>
      <c r="AU139" s="93" t="s">
        <v>1114</v>
      </c>
      <c r="AV139" s="36" t="n">
        <v>221.85</v>
      </c>
      <c r="AW139" s="38" t="s">
        <v>1115</v>
      </c>
      <c r="AX139" s="49" t="s">
        <v>1116</v>
      </c>
      <c r="AY139" s="33" t="s">
        <v>1018</v>
      </c>
      <c r="AZ139" s="40" t="n">
        <v>44998</v>
      </c>
      <c r="BA139" s="44" t="s">
        <v>555</v>
      </c>
      <c r="BB139" s="36" t="n">
        <v>180</v>
      </c>
      <c r="BC139" s="38" t="s">
        <v>1117</v>
      </c>
      <c r="BD139" s="49" t="s">
        <v>503</v>
      </c>
      <c r="BE139" s="33" t="s">
        <v>1018</v>
      </c>
      <c r="BF139" s="40" t="n">
        <v>44998</v>
      </c>
      <c r="BG139" s="56" t="s">
        <v>107</v>
      </c>
      <c r="BH139" s="36" t="n">
        <v>209.92</v>
      </c>
      <c r="BI139" s="38" t="s">
        <v>1118</v>
      </c>
      <c r="BJ139" s="49" t="s">
        <v>109</v>
      </c>
      <c r="BK139" s="33" t="s">
        <v>76</v>
      </c>
      <c r="BL139" s="40" t="n">
        <v>44998</v>
      </c>
    </row>
    <row r="140" customFormat="false" ht="406.5" hidden="false" customHeight="false" outlineLevel="0" collapsed="false">
      <c r="A140" s="12" t="s">
        <v>34</v>
      </c>
      <c r="B140" s="12" t="s">
        <v>1119</v>
      </c>
      <c r="C140" s="13" t="s">
        <v>1120</v>
      </c>
      <c r="D140" s="14" t="s">
        <v>65</v>
      </c>
      <c r="E140" s="14" t="s">
        <v>66</v>
      </c>
      <c r="F140" s="14" t="n">
        <v>500</v>
      </c>
      <c r="G140" s="14" t="n">
        <v>500</v>
      </c>
      <c r="H140" s="15" t="n">
        <v>0.22</v>
      </c>
      <c r="I140" s="15" t="n">
        <v>110</v>
      </c>
      <c r="J140" s="23" t="s">
        <v>1121</v>
      </c>
      <c r="K140" s="45" t="n">
        <v>139</v>
      </c>
      <c r="L140" s="17" t="s">
        <v>68</v>
      </c>
      <c r="M140" s="17" t="n">
        <v>21000000192</v>
      </c>
      <c r="N140" s="15" t="s">
        <v>1122</v>
      </c>
      <c r="O140" s="17" t="s">
        <v>70</v>
      </c>
      <c r="P140" s="17" t="n">
        <f aca="false">SUM(R140:AP140)</f>
        <v>500</v>
      </c>
      <c r="Q140" s="17" t="s">
        <v>71</v>
      </c>
      <c r="R140" s="17"/>
      <c r="S140" s="17"/>
      <c r="T140" s="17"/>
      <c r="U140" s="17"/>
      <c r="V140" s="17"/>
      <c r="W140" s="17"/>
      <c r="X140" s="17"/>
      <c r="Y140" s="17"/>
      <c r="Z140" s="17"/>
      <c r="AA140" s="82"/>
      <c r="AB140" s="17"/>
      <c r="AC140" s="17"/>
      <c r="AD140" s="17"/>
      <c r="AE140" s="17"/>
      <c r="AF140" s="17"/>
      <c r="AG140" s="17"/>
      <c r="AH140" s="17"/>
      <c r="AI140" s="17" t="n">
        <v>500</v>
      </c>
      <c r="AJ140" s="17"/>
      <c r="AK140" s="17"/>
      <c r="AL140" s="17"/>
      <c r="AM140" s="17"/>
      <c r="AN140" s="17"/>
      <c r="AO140" s="17"/>
      <c r="AP140" s="17"/>
      <c r="AQ140" s="19" t="s">
        <v>1122</v>
      </c>
      <c r="AR140" s="17" t="s">
        <v>236</v>
      </c>
      <c r="AS140" s="20" t="n">
        <f aca="false">AVERAGE(AV140,BB140,BH140)</f>
        <v>0.377853333333333</v>
      </c>
      <c r="AT140" s="20" t="n">
        <f aca="false">(AS140*1.3)</f>
        <v>0.491209333333333</v>
      </c>
      <c r="AU140" s="17" t="s">
        <v>128</v>
      </c>
      <c r="AV140" s="20" t="n">
        <f aca="false">187.71 /500</f>
        <v>0.37542</v>
      </c>
      <c r="AW140" s="23" t="s">
        <v>1123</v>
      </c>
      <c r="AX140" s="17" t="s">
        <v>130</v>
      </c>
      <c r="AY140" s="17" t="s">
        <v>131</v>
      </c>
      <c r="AZ140" s="80" t="n">
        <v>44998</v>
      </c>
      <c r="BA140" s="17" t="s">
        <v>350</v>
      </c>
      <c r="BB140" s="20" t="n">
        <f aca="false">95/250</f>
        <v>0.38</v>
      </c>
      <c r="BC140" s="16" t="s">
        <v>1124</v>
      </c>
      <c r="BD140" s="17" t="s">
        <v>97</v>
      </c>
      <c r="BE140" s="17" t="s">
        <v>98</v>
      </c>
      <c r="BF140" s="80" t="n">
        <v>44998</v>
      </c>
      <c r="BG140" s="17" t="s">
        <v>157</v>
      </c>
      <c r="BH140" s="20" t="n">
        <f aca="false">189.07/500</f>
        <v>0.37814</v>
      </c>
      <c r="BI140" s="23" t="s">
        <v>1125</v>
      </c>
      <c r="BJ140" s="17" t="s">
        <v>159</v>
      </c>
      <c r="BK140" s="17" t="s">
        <v>76</v>
      </c>
      <c r="BL140" s="80" t="n">
        <v>44998</v>
      </c>
    </row>
    <row r="141" customFormat="false" ht="395.25" hidden="false" customHeight="false" outlineLevel="0" collapsed="false">
      <c r="A141" s="28" t="s">
        <v>18</v>
      </c>
      <c r="B141" s="28" t="s">
        <v>1126</v>
      </c>
      <c r="C141" s="29" t="s">
        <v>1127</v>
      </c>
      <c r="D141" s="30" t="s">
        <v>65</v>
      </c>
      <c r="E141" s="30" t="s">
        <v>66</v>
      </c>
      <c r="F141" s="30" t="n">
        <v>1</v>
      </c>
      <c r="G141" s="30" t="n">
        <v>1</v>
      </c>
      <c r="H141" s="31" t="n">
        <v>19.75</v>
      </c>
      <c r="I141" s="31" t="n">
        <v>19.75</v>
      </c>
      <c r="J141" s="38" t="s">
        <v>1128</v>
      </c>
      <c r="K141" s="49" t="n">
        <v>140</v>
      </c>
      <c r="L141" s="33" t="s">
        <v>68</v>
      </c>
      <c r="M141" s="33" t="n">
        <v>21000000193</v>
      </c>
      <c r="N141" s="34" t="s">
        <v>1129</v>
      </c>
      <c r="O141" s="33" t="s">
        <v>115</v>
      </c>
      <c r="P141" s="33" t="n">
        <f aca="false">SUM(R141:AP141)</f>
        <v>17</v>
      </c>
      <c r="Q141" s="33" t="s">
        <v>71</v>
      </c>
      <c r="R141" s="33"/>
      <c r="S141" s="33" t="n">
        <v>1</v>
      </c>
      <c r="T141" s="33"/>
      <c r="U141" s="33"/>
      <c r="V141" s="33"/>
      <c r="W141" s="33" t="n">
        <v>13</v>
      </c>
      <c r="X141" s="33"/>
      <c r="Y141" s="33"/>
      <c r="Z141" s="33"/>
      <c r="AA141" s="33" t="n">
        <v>3</v>
      </c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0"/>
      <c r="AP141" s="33"/>
      <c r="AQ141" s="35" t="s">
        <v>1129</v>
      </c>
      <c r="AR141" s="33" t="s">
        <v>1130</v>
      </c>
      <c r="AS141" s="36" t="n">
        <f aca="false">AVERAGE(AV141,BB141,BH141)</f>
        <v>24.725</v>
      </c>
      <c r="AT141" s="21" t="n">
        <f aca="false">(AS141*1.3)</f>
        <v>32.1425</v>
      </c>
      <c r="AU141" s="48" t="s">
        <v>107</v>
      </c>
      <c r="AV141" s="36" t="n">
        <v>31.12</v>
      </c>
      <c r="AW141" s="32" t="s">
        <v>1131</v>
      </c>
      <c r="AX141" s="49" t="s">
        <v>109</v>
      </c>
      <c r="AY141" s="33" t="s">
        <v>110</v>
      </c>
      <c r="AZ141" s="40" t="n">
        <v>44998</v>
      </c>
      <c r="BA141" s="44" t="s">
        <v>157</v>
      </c>
      <c r="BB141" s="36" t="n">
        <v>18.33</v>
      </c>
      <c r="BC141" s="38" t="s">
        <v>1132</v>
      </c>
      <c r="BD141" s="49" t="s">
        <v>159</v>
      </c>
      <c r="BE141" s="33" t="s">
        <v>1018</v>
      </c>
      <c r="BF141" s="40" t="n">
        <v>44998</v>
      </c>
      <c r="BG141" s="11"/>
      <c r="BH141" s="36"/>
      <c r="BI141" s="33"/>
      <c r="BJ141" s="33"/>
      <c r="BK141" s="33"/>
      <c r="BL141" s="33"/>
    </row>
    <row r="142" customFormat="false" ht="417.75" hidden="false" customHeight="false" outlineLevel="0" collapsed="false">
      <c r="A142" s="12" t="s">
        <v>26</v>
      </c>
      <c r="B142" s="12" t="s">
        <v>1133</v>
      </c>
      <c r="C142" s="13" t="s">
        <v>1134</v>
      </c>
      <c r="D142" s="14" t="s">
        <v>65</v>
      </c>
      <c r="E142" s="14" t="s">
        <v>66</v>
      </c>
      <c r="F142" s="14" t="n">
        <v>2</v>
      </c>
      <c r="G142" s="14" t="n">
        <v>1000</v>
      </c>
      <c r="H142" s="15" t="n">
        <v>125</v>
      </c>
      <c r="I142" s="15" t="n">
        <v>250</v>
      </c>
      <c r="J142" s="23" t="s">
        <v>1135</v>
      </c>
      <c r="K142" s="45" t="n">
        <v>141</v>
      </c>
      <c r="L142" s="17" t="s">
        <v>68</v>
      </c>
      <c r="M142" s="17" t="n">
        <v>21000000194</v>
      </c>
      <c r="N142" s="18" t="s">
        <v>1136</v>
      </c>
      <c r="O142" s="17" t="s">
        <v>70</v>
      </c>
      <c r="P142" s="17" t="n">
        <f aca="false">SUM(R142:AP142)</f>
        <v>1500</v>
      </c>
      <c r="Q142" s="17" t="s">
        <v>71</v>
      </c>
      <c r="R142" s="17"/>
      <c r="S142" s="17"/>
      <c r="T142" s="17"/>
      <c r="U142" s="17"/>
      <c r="V142" s="17"/>
      <c r="W142" s="17"/>
      <c r="X142" s="17"/>
      <c r="Y142" s="17"/>
      <c r="Z142" s="17"/>
      <c r="AA142" s="17" t="n">
        <v>1000</v>
      </c>
      <c r="AB142" s="17"/>
      <c r="AC142" s="17"/>
      <c r="AD142" s="17"/>
      <c r="AE142" s="17"/>
      <c r="AF142" s="17"/>
      <c r="AG142" s="17"/>
      <c r="AH142" s="17"/>
      <c r="AI142" s="17" t="n">
        <v>500</v>
      </c>
      <c r="AJ142" s="17"/>
      <c r="AK142" s="17"/>
      <c r="AL142" s="17"/>
      <c r="AM142" s="17"/>
      <c r="AN142" s="17"/>
      <c r="AO142" s="17"/>
      <c r="AP142" s="17"/>
      <c r="AQ142" s="19" t="s">
        <v>1136</v>
      </c>
      <c r="AR142" s="17" t="s">
        <v>1130</v>
      </c>
      <c r="AS142" s="20" t="n">
        <f aca="false">AVERAGE(AV142,BB142,BH142)</f>
        <v>0.218086666666667</v>
      </c>
      <c r="AT142" s="21" t="n">
        <f aca="false">(AS142*1.3)</f>
        <v>0.283512666666667</v>
      </c>
      <c r="AU142" s="48" t="s">
        <v>107</v>
      </c>
      <c r="AV142" s="20" t="n">
        <f aca="false">105.47/500</f>
        <v>0.21094</v>
      </c>
      <c r="AW142" s="23" t="s">
        <v>1137</v>
      </c>
      <c r="AX142" s="45" t="s">
        <v>109</v>
      </c>
      <c r="AY142" s="17" t="s">
        <v>110</v>
      </c>
      <c r="AZ142" s="25" t="n">
        <v>44998</v>
      </c>
      <c r="BA142" s="44" t="s">
        <v>128</v>
      </c>
      <c r="BB142" s="20" t="n">
        <f aca="false">95.66/500</f>
        <v>0.19132</v>
      </c>
      <c r="BC142" s="23" t="s">
        <v>1138</v>
      </c>
      <c r="BD142" s="45" t="s">
        <v>130</v>
      </c>
      <c r="BE142" s="17" t="s">
        <v>131</v>
      </c>
      <c r="BF142" s="25" t="n">
        <v>44998</v>
      </c>
      <c r="BG142" s="56" t="s">
        <v>555</v>
      </c>
      <c r="BH142" s="20" t="n">
        <f aca="false">126/500</f>
        <v>0.252</v>
      </c>
      <c r="BI142" s="16" t="s">
        <v>1139</v>
      </c>
      <c r="BJ142" s="45" t="s">
        <v>503</v>
      </c>
      <c r="BK142" s="17" t="s">
        <v>1140</v>
      </c>
      <c r="BL142" s="25" t="n">
        <v>44998</v>
      </c>
    </row>
    <row r="143" customFormat="false" ht="417.75" hidden="false" customHeight="false" outlineLevel="0" collapsed="false">
      <c r="A143" s="28" t="s">
        <v>22</v>
      </c>
      <c r="B143" s="28" t="s">
        <v>1141</v>
      </c>
      <c r="C143" s="29" t="s">
        <v>1142</v>
      </c>
      <c r="D143" s="30" t="s">
        <v>65</v>
      </c>
      <c r="E143" s="30" t="s">
        <v>66</v>
      </c>
      <c r="F143" s="30" t="n">
        <v>5000</v>
      </c>
      <c r="G143" s="30" t="n">
        <v>5000</v>
      </c>
      <c r="H143" s="31" t="n">
        <v>7</v>
      </c>
      <c r="I143" s="31" t="n">
        <v>35000</v>
      </c>
      <c r="J143" s="38" t="s">
        <v>1143</v>
      </c>
      <c r="K143" s="49" t="n">
        <v>142</v>
      </c>
      <c r="L143" s="33" t="s">
        <v>68</v>
      </c>
      <c r="M143" s="33" t="n">
        <v>21000000195</v>
      </c>
      <c r="N143" s="34" t="s">
        <v>1144</v>
      </c>
      <c r="O143" s="33" t="s">
        <v>70</v>
      </c>
      <c r="P143" s="33" t="n">
        <f aca="false">SUM(R143:AP143)</f>
        <v>5000</v>
      </c>
      <c r="Q143" s="33" t="s">
        <v>71</v>
      </c>
      <c r="R143" s="33"/>
      <c r="S143" s="33"/>
      <c r="T143" s="33"/>
      <c r="U143" s="33"/>
      <c r="V143" s="33"/>
      <c r="W143" s="33" t="n">
        <v>5000</v>
      </c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5" t="s">
        <v>1144</v>
      </c>
      <c r="AR143" s="33" t="s">
        <v>1130</v>
      </c>
      <c r="AS143" s="36" t="n">
        <f aca="false">AVERAGE(AV143,BB143,BH143)</f>
        <v>0.0801533333333333</v>
      </c>
      <c r="AT143" s="21" t="n">
        <f aca="false">(AS143*1.3)</f>
        <v>0.104199333333333</v>
      </c>
      <c r="AU143" s="48" t="s">
        <v>128</v>
      </c>
      <c r="AV143" s="36" t="n">
        <f aca="false">42.57 /500</f>
        <v>0.08514</v>
      </c>
      <c r="AW143" s="32" t="s">
        <v>1145</v>
      </c>
      <c r="AX143" s="49" t="s">
        <v>130</v>
      </c>
      <c r="AY143" s="33" t="s">
        <v>131</v>
      </c>
      <c r="AZ143" s="40" t="n">
        <v>44998</v>
      </c>
      <c r="BA143" s="44" t="s">
        <v>107</v>
      </c>
      <c r="BB143" s="36" t="n">
        <f aca="false">38.69/500</f>
        <v>0.07738</v>
      </c>
      <c r="BC143" s="38" t="s">
        <v>1146</v>
      </c>
      <c r="BD143" s="49" t="s">
        <v>109</v>
      </c>
      <c r="BE143" s="33" t="s">
        <v>110</v>
      </c>
      <c r="BF143" s="40" t="n">
        <v>44998</v>
      </c>
      <c r="BG143" s="56" t="s">
        <v>157</v>
      </c>
      <c r="BH143" s="36" t="n">
        <f aca="false">38.97/500</f>
        <v>0.07794</v>
      </c>
      <c r="BI143" s="32" t="s">
        <v>1147</v>
      </c>
      <c r="BJ143" s="49" t="s">
        <v>159</v>
      </c>
      <c r="BK143" s="33" t="s">
        <v>1018</v>
      </c>
      <c r="BL143" s="40" t="n">
        <v>44998</v>
      </c>
    </row>
    <row r="144" customFormat="false" ht="316.5" hidden="false" customHeight="false" outlineLevel="0" collapsed="false">
      <c r="A144" s="12" t="s">
        <v>26</v>
      </c>
      <c r="B144" s="12" t="s">
        <v>1148</v>
      </c>
      <c r="C144" s="13" t="s">
        <v>1149</v>
      </c>
      <c r="D144" s="14" t="s">
        <v>65</v>
      </c>
      <c r="E144" s="14" t="s">
        <v>66</v>
      </c>
      <c r="F144" s="14" t="n">
        <v>1</v>
      </c>
      <c r="G144" s="14" t="n">
        <v>1</v>
      </c>
      <c r="H144" s="15" t="n">
        <v>139.9</v>
      </c>
      <c r="I144" s="15" t="n">
        <v>139.9</v>
      </c>
      <c r="J144" s="16" t="s">
        <v>1150</v>
      </c>
      <c r="K144" s="45" t="n">
        <v>143</v>
      </c>
      <c r="L144" s="17" t="s">
        <v>68</v>
      </c>
      <c r="M144" s="17" t="n">
        <v>21000000196</v>
      </c>
      <c r="N144" s="18" t="s">
        <v>1151</v>
      </c>
      <c r="O144" s="17" t="s">
        <v>703</v>
      </c>
      <c r="P144" s="17" t="n">
        <f aca="false">SUM(R144:AP144)</f>
        <v>2</v>
      </c>
      <c r="Q144" s="17" t="s">
        <v>71</v>
      </c>
      <c r="R144" s="17"/>
      <c r="S144" s="17"/>
      <c r="T144" s="17"/>
      <c r="U144" s="17"/>
      <c r="V144" s="17"/>
      <c r="W144" s="17"/>
      <c r="X144" s="17"/>
      <c r="Y144" s="17"/>
      <c r="Z144" s="17"/>
      <c r="AA144" s="82" t="n">
        <v>1</v>
      </c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 t="n">
        <v>1</v>
      </c>
      <c r="AP144" s="17"/>
      <c r="AQ144" s="19" t="s">
        <v>1151</v>
      </c>
      <c r="AR144" s="17" t="s">
        <v>1130</v>
      </c>
      <c r="AS144" s="20" t="n">
        <f aca="false">AVERAGE(AV144,BB144,BH144)</f>
        <v>132.193333333333</v>
      </c>
      <c r="AT144" s="21" t="n">
        <f aca="false">(AS144*1.3)</f>
        <v>171.851333333333</v>
      </c>
      <c r="AU144" s="48" t="s">
        <v>107</v>
      </c>
      <c r="AV144" s="20" t="n">
        <f aca="false">51.62*2</f>
        <v>103.24</v>
      </c>
      <c r="AW144" s="23" t="s">
        <v>1152</v>
      </c>
      <c r="AX144" s="45" t="s">
        <v>109</v>
      </c>
      <c r="AY144" s="17" t="s">
        <v>110</v>
      </c>
      <c r="AZ144" s="25" t="n">
        <v>44999</v>
      </c>
      <c r="BA144" s="44" t="s">
        <v>1153</v>
      </c>
      <c r="BB144" s="20" t="n">
        <v>159</v>
      </c>
      <c r="BC144" s="23" t="s">
        <v>1154</v>
      </c>
      <c r="BD144" s="45" t="s">
        <v>1155</v>
      </c>
      <c r="BE144" s="17" t="s">
        <v>1018</v>
      </c>
      <c r="BF144" s="25" t="n">
        <v>44999</v>
      </c>
      <c r="BG144" s="56" t="s">
        <v>125</v>
      </c>
      <c r="BH144" s="20" t="n">
        <f aca="false">67.17*2</f>
        <v>134.34</v>
      </c>
      <c r="BI144" s="23" t="s">
        <v>1156</v>
      </c>
      <c r="BJ144" s="45" t="s">
        <v>127</v>
      </c>
      <c r="BK144" s="17" t="s">
        <v>110</v>
      </c>
      <c r="BL144" s="25" t="n">
        <v>44999</v>
      </c>
    </row>
    <row r="145" customFormat="false" ht="462.75" hidden="false" customHeight="false" outlineLevel="0" collapsed="false">
      <c r="A145" s="28" t="s">
        <v>18</v>
      </c>
      <c r="B145" s="28" t="s">
        <v>1157</v>
      </c>
      <c r="C145" s="29" t="s">
        <v>1158</v>
      </c>
      <c r="D145" s="30" t="s">
        <v>65</v>
      </c>
      <c r="E145" s="30" t="s">
        <v>66</v>
      </c>
      <c r="F145" s="30" t="n">
        <v>2000</v>
      </c>
      <c r="G145" s="30" t="n">
        <v>2</v>
      </c>
      <c r="H145" s="31" t="n">
        <v>0.06</v>
      </c>
      <c r="I145" s="31" t="n">
        <v>120</v>
      </c>
      <c r="J145" s="32" t="s">
        <v>1159</v>
      </c>
      <c r="K145" s="49" t="n">
        <v>144</v>
      </c>
      <c r="L145" s="33" t="s">
        <v>68</v>
      </c>
      <c r="M145" s="33" t="n">
        <v>21000000197</v>
      </c>
      <c r="N145" s="34" t="s">
        <v>1160</v>
      </c>
      <c r="O145" s="33" t="s">
        <v>703</v>
      </c>
      <c r="P145" s="33" t="n">
        <f aca="false">SUM(R145:AP145)</f>
        <v>64</v>
      </c>
      <c r="Q145" s="33" t="s">
        <v>71</v>
      </c>
      <c r="R145" s="33"/>
      <c r="S145" s="33" t="n">
        <v>2</v>
      </c>
      <c r="T145" s="33" t="n">
        <v>4</v>
      </c>
      <c r="U145" s="33"/>
      <c r="V145" s="33"/>
      <c r="W145" s="33" t="n">
        <v>10</v>
      </c>
      <c r="X145" s="33"/>
      <c r="Y145" s="33" t="n">
        <v>7</v>
      </c>
      <c r="Z145" s="33"/>
      <c r="AA145" s="73"/>
      <c r="AB145" s="33" t="n">
        <v>3</v>
      </c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 t="n">
        <v>18</v>
      </c>
      <c r="AP145" s="33" t="n">
        <v>20</v>
      </c>
      <c r="AQ145" s="35" t="s">
        <v>1160</v>
      </c>
      <c r="AR145" s="33" t="s">
        <v>1130</v>
      </c>
      <c r="AS145" s="36" t="n">
        <f aca="false">AVERAGE(AV145,BB145,BH145)</f>
        <v>0.0566666666666667</v>
      </c>
      <c r="AT145" s="21" t="n">
        <f aca="false">(AS145*1.3)</f>
        <v>0.0736666666666667</v>
      </c>
      <c r="AU145" s="48" t="s">
        <v>125</v>
      </c>
      <c r="AV145" s="36" t="n">
        <f aca="false">69.94/1000</f>
        <v>0.06994</v>
      </c>
      <c r="AW145" s="38" t="s">
        <v>1161</v>
      </c>
      <c r="AX145" s="49" t="s">
        <v>127</v>
      </c>
      <c r="AY145" s="33" t="s">
        <v>110</v>
      </c>
      <c r="AZ145" s="40" t="n">
        <v>44999</v>
      </c>
      <c r="BA145" s="44" t="s">
        <v>1114</v>
      </c>
      <c r="BB145" s="36" t="n">
        <f aca="false">53.06/1000</f>
        <v>0.05306</v>
      </c>
      <c r="BC145" s="38" t="s">
        <v>1162</v>
      </c>
      <c r="BD145" s="49" t="s">
        <v>1163</v>
      </c>
      <c r="BE145" s="33" t="s">
        <v>255</v>
      </c>
      <c r="BF145" s="40" t="n">
        <v>44999</v>
      </c>
      <c r="BG145" s="56" t="s">
        <v>175</v>
      </c>
      <c r="BH145" s="36" t="n">
        <f aca="false">47/1000</f>
        <v>0.047</v>
      </c>
      <c r="BI145" s="38" t="s">
        <v>1164</v>
      </c>
      <c r="BJ145" s="49" t="s">
        <v>587</v>
      </c>
      <c r="BK145" s="33" t="s">
        <v>98</v>
      </c>
      <c r="BL145" s="40" t="n">
        <v>44999</v>
      </c>
    </row>
    <row r="146" customFormat="false" ht="204" hidden="false" customHeight="false" outlineLevel="0" collapsed="false">
      <c r="A146" s="12" t="s">
        <v>27</v>
      </c>
      <c r="B146" s="12" t="s">
        <v>1165</v>
      </c>
      <c r="C146" s="13" t="s">
        <v>1166</v>
      </c>
      <c r="D146" s="14" t="s">
        <v>65</v>
      </c>
      <c r="E146" s="14" t="s">
        <v>66</v>
      </c>
      <c r="F146" s="14" t="n">
        <v>2</v>
      </c>
      <c r="G146" s="14" t="n">
        <v>2</v>
      </c>
      <c r="H146" s="15" t="n">
        <v>22.96</v>
      </c>
      <c r="I146" s="15" t="n">
        <v>45.92</v>
      </c>
      <c r="J146" s="16" t="s">
        <v>1167</v>
      </c>
      <c r="K146" s="45" t="n">
        <v>145</v>
      </c>
      <c r="L146" s="17" t="s">
        <v>68</v>
      </c>
      <c r="M146" s="17" t="n">
        <v>21000000577</v>
      </c>
      <c r="N146" s="18" t="s">
        <v>1168</v>
      </c>
      <c r="O146" s="17" t="s">
        <v>115</v>
      </c>
      <c r="P146" s="17" t="n">
        <f aca="false">SUM(R146:AP146)</f>
        <v>2</v>
      </c>
      <c r="Q146" s="17" t="s">
        <v>71</v>
      </c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 t="n">
        <v>2</v>
      </c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9" t="s">
        <v>1168</v>
      </c>
      <c r="AR146" s="17" t="s">
        <v>1130</v>
      </c>
      <c r="AS146" s="20" t="n">
        <f aca="false">AVERAGE(AV146,BB146,BH146)</f>
        <v>5.18666666666667</v>
      </c>
      <c r="AT146" s="21" t="n">
        <f aca="false">(AS146*1.3)</f>
        <v>6.74266666666667</v>
      </c>
      <c r="AU146" s="48" t="s">
        <v>1169</v>
      </c>
      <c r="AV146" s="20" t="n">
        <f aca="false">25/5</f>
        <v>5</v>
      </c>
      <c r="AW146" s="23" t="s">
        <v>1170</v>
      </c>
      <c r="AX146" s="45" t="s">
        <v>1171</v>
      </c>
      <c r="AY146" s="17" t="s">
        <v>1172</v>
      </c>
      <c r="AZ146" s="25" t="n">
        <v>44999</v>
      </c>
      <c r="BA146" s="44" t="s">
        <v>1173</v>
      </c>
      <c r="BB146" s="20" t="n">
        <f aca="false">26.9 /5</f>
        <v>5.38</v>
      </c>
      <c r="BC146" s="23" t="s">
        <v>1174</v>
      </c>
      <c r="BD146" s="45" t="s">
        <v>1175</v>
      </c>
      <c r="BE146" s="17" t="s">
        <v>1176</v>
      </c>
      <c r="BF146" s="25" t="n">
        <v>44999</v>
      </c>
      <c r="BG146" s="11" t="s">
        <v>1177</v>
      </c>
      <c r="BH146" s="20" t="n">
        <f aca="false">25.9/5</f>
        <v>5.18</v>
      </c>
      <c r="BI146" s="23" t="s">
        <v>1178</v>
      </c>
      <c r="BJ146" s="17" t="s">
        <v>1179</v>
      </c>
      <c r="BK146" s="17" t="s">
        <v>1018</v>
      </c>
      <c r="BL146" s="25" t="n">
        <v>44999</v>
      </c>
    </row>
    <row r="147" customFormat="false" ht="417.75" hidden="false" customHeight="false" outlineLevel="0" collapsed="false">
      <c r="A147" s="28" t="s">
        <v>22</v>
      </c>
      <c r="B147" s="28" t="s">
        <v>1180</v>
      </c>
      <c r="C147" s="29" t="s">
        <v>1181</v>
      </c>
      <c r="D147" s="30" t="s">
        <v>65</v>
      </c>
      <c r="E147" s="30" t="s">
        <v>66</v>
      </c>
      <c r="F147" s="30" t="n">
        <v>1000</v>
      </c>
      <c r="G147" s="30" t="n">
        <v>1000</v>
      </c>
      <c r="H147" s="31" t="n">
        <v>0.75</v>
      </c>
      <c r="I147" s="31" t="n">
        <v>750</v>
      </c>
      <c r="J147" s="38" t="s">
        <v>1182</v>
      </c>
      <c r="K147" s="49" t="n">
        <v>146</v>
      </c>
      <c r="L147" s="33" t="s">
        <v>68</v>
      </c>
      <c r="M147" s="33" t="n">
        <v>21000000199</v>
      </c>
      <c r="N147" s="34" t="s">
        <v>1183</v>
      </c>
      <c r="O147" s="33" t="s">
        <v>70</v>
      </c>
      <c r="P147" s="33" t="n">
        <f aca="false">SUM(R147:AP147)</f>
        <v>1750</v>
      </c>
      <c r="Q147" s="33" t="s">
        <v>71</v>
      </c>
      <c r="R147" s="33"/>
      <c r="S147" s="33"/>
      <c r="T147" s="33"/>
      <c r="U147" s="33"/>
      <c r="V147" s="33"/>
      <c r="W147" s="33" t="n">
        <v>1000</v>
      </c>
      <c r="X147" s="33"/>
      <c r="Y147" s="33"/>
      <c r="Z147" s="33"/>
      <c r="AA147" s="33" t="n">
        <v>250</v>
      </c>
      <c r="AB147" s="33"/>
      <c r="AC147" s="33"/>
      <c r="AD147" s="33"/>
      <c r="AE147" s="33"/>
      <c r="AF147" s="33"/>
      <c r="AG147" s="33"/>
      <c r="AH147" s="33"/>
      <c r="AI147" s="33" t="n">
        <v>500</v>
      </c>
      <c r="AJ147" s="33"/>
      <c r="AK147" s="33"/>
      <c r="AL147" s="33"/>
      <c r="AM147" s="33"/>
      <c r="AN147" s="33"/>
      <c r="AO147" s="33"/>
      <c r="AP147" s="30"/>
      <c r="AQ147" s="35" t="s">
        <v>1183</v>
      </c>
      <c r="AR147" s="33" t="s">
        <v>1130</v>
      </c>
      <c r="AS147" s="36" t="n">
        <f aca="false">AVERAGE(AV147,BB147,BH147)</f>
        <v>1.19636666666667</v>
      </c>
      <c r="AT147" s="21" t="n">
        <f aca="false">(AS147*1.3)</f>
        <v>1.55527666666667</v>
      </c>
      <c r="AU147" s="48" t="s">
        <v>350</v>
      </c>
      <c r="AV147" s="36" t="n">
        <f aca="false">319/250</f>
        <v>1.276</v>
      </c>
      <c r="AW147" s="32" t="s">
        <v>1184</v>
      </c>
      <c r="AX147" s="49" t="s">
        <v>97</v>
      </c>
      <c r="AY147" s="33" t="s">
        <v>98</v>
      </c>
      <c r="AZ147" s="40" t="n">
        <v>44999</v>
      </c>
      <c r="BA147" s="44" t="s">
        <v>128</v>
      </c>
      <c r="BB147" s="36" t="n">
        <f aca="false">117.31/100</f>
        <v>1.1731</v>
      </c>
      <c r="BC147" s="38" t="s">
        <v>1185</v>
      </c>
      <c r="BD147" s="49" t="s">
        <v>130</v>
      </c>
      <c r="BE147" s="33" t="s">
        <v>131</v>
      </c>
      <c r="BF147" s="40" t="n">
        <v>44999</v>
      </c>
      <c r="BG147" s="56" t="s">
        <v>175</v>
      </c>
      <c r="BH147" s="36" t="n">
        <f aca="false">114/100</f>
        <v>1.14</v>
      </c>
      <c r="BI147" s="38" t="s">
        <v>1186</v>
      </c>
      <c r="BJ147" s="49" t="s">
        <v>587</v>
      </c>
      <c r="BK147" s="33" t="s">
        <v>98</v>
      </c>
      <c r="BL147" s="40" t="n">
        <v>44999</v>
      </c>
    </row>
    <row r="148" customFormat="false" ht="429" hidden="false" customHeight="false" outlineLevel="0" collapsed="false">
      <c r="A148" s="12" t="s">
        <v>22</v>
      </c>
      <c r="B148" s="12" t="s">
        <v>1187</v>
      </c>
      <c r="C148" s="13" t="s">
        <v>1188</v>
      </c>
      <c r="D148" s="14" t="s">
        <v>65</v>
      </c>
      <c r="E148" s="14" t="s">
        <v>66</v>
      </c>
      <c r="F148" s="14" t="n">
        <v>1</v>
      </c>
      <c r="G148" s="14" t="n">
        <v>600</v>
      </c>
      <c r="H148" s="15" t="n">
        <v>103.26</v>
      </c>
      <c r="I148" s="15" t="n">
        <v>103.26</v>
      </c>
      <c r="J148" s="16" t="s">
        <v>1189</v>
      </c>
      <c r="K148" s="45" t="n">
        <v>147</v>
      </c>
      <c r="L148" s="17" t="s">
        <v>68</v>
      </c>
      <c r="M148" s="17" t="n">
        <v>21000000200</v>
      </c>
      <c r="N148" s="18" t="s">
        <v>1190</v>
      </c>
      <c r="O148" s="17" t="s">
        <v>70</v>
      </c>
      <c r="P148" s="17" t="n">
        <f aca="false">SUM(R148:AP148)</f>
        <v>2350</v>
      </c>
      <c r="Q148" s="17" t="s">
        <v>71</v>
      </c>
      <c r="R148" s="17"/>
      <c r="S148" s="17"/>
      <c r="T148" s="17"/>
      <c r="U148" s="17"/>
      <c r="V148" s="17"/>
      <c r="W148" s="17" t="n">
        <v>600</v>
      </c>
      <c r="X148" s="17"/>
      <c r="Y148" s="17"/>
      <c r="Z148" s="17"/>
      <c r="AA148" s="17" t="n">
        <v>500</v>
      </c>
      <c r="AB148" s="14"/>
      <c r="AC148" s="17"/>
      <c r="AD148" s="17"/>
      <c r="AE148" s="17"/>
      <c r="AF148" s="17"/>
      <c r="AG148" s="17"/>
      <c r="AH148" s="17"/>
      <c r="AI148" s="17" t="n">
        <v>1000</v>
      </c>
      <c r="AJ148" s="17"/>
      <c r="AK148" s="17"/>
      <c r="AL148" s="17"/>
      <c r="AM148" s="17" t="n">
        <v>250</v>
      </c>
      <c r="AN148" s="17"/>
      <c r="AO148" s="17"/>
      <c r="AP148" s="17"/>
      <c r="AQ148" s="19" t="s">
        <v>1190</v>
      </c>
      <c r="AR148" s="17" t="s">
        <v>1130</v>
      </c>
      <c r="AS148" s="20" t="n">
        <f aca="false">AVERAGE(AV148,BB148,BH148)</f>
        <v>1.84416666666667</v>
      </c>
      <c r="AT148" s="21" t="n">
        <f aca="false">(AS148*1.3)</f>
        <v>2.39741666666667</v>
      </c>
      <c r="AU148" s="48" t="s">
        <v>107</v>
      </c>
      <c r="AV148" s="20" t="n">
        <f aca="false">168.58/100</f>
        <v>1.6858</v>
      </c>
      <c r="AW148" s="16" t="s">
        <v>1191</v>
      </c>
      <c r="AX148" s="45" t="s">
        <v>109</v>
      </c>
      <c r="AY148" s="17" t="s">
        <v>1192</v>
      </c>
      <c r="AZ148" s="25" t="n">
        <v>44999</v>
      </c>
      <c r="BA148" s="44" t="s">
        <v>87</v>
      </c>
      <c r="BB148" s="20" t="n">
        <f aca="false">165.3/100</f>
        <v>1.653</v>
      </c>
      <c r="BC148" s="16" t="s">
        <v>1193</v>
      </c>
      <c r="BD148" s="45" t="s">
        <v>610</v>
      </c>
      <c r="BE148" s="17" t="s">
        <v>90</v>
      </c>
      <c r="BF148" s="25" t="n">
        <v>44999</v>
      </c>
      <c r="BG148" s="56" t="s">
        <v>125</v>
      </c>
      <c r="BH148" s="20" t="n">
        <f aca="false">219.37/100</f>
        <v>2.1937</v>
      </c>
      <c r="BI148" s="23" t="s">
        <v>1194</v>
      </c>
      <c r="BJ148" s="45" t="s">
        <v>127</v>
      </c>
      <c r="BK148" s="17" t="s">
        <v>110</v>
      </c>
      <c r="BL148" s="25" t="n">
        <v>44999</v>
      </c>
    </row>
    <row r="149" customFormat="false" ht="417.75" hidden="false" customHeight="false" outlineLevel="0" collapsed="false">
      <c r="A149" s="28" t="s">
        <v>22</v>
      </c>
      <c r="B149" s="28" t="s">
        <v>1195</v>
      </c>
      <c r="C149" s="29" t="s">
        <v>1196</v>
      </c>
      <c r="D149" s="30" t="s">
        <v>65</v>
      </c>
      <c r="E149" s="30" t="s">
        <v>66</v>
      </c>
      <c r="F149" s="30" t="n">
        <v>1</v>
      </c>
      <c r="G149" s="30" t="n">
        <v>100</v>
      </c>
      <c r="H149" s="31" t="n">
        <v>241.81</v>
      </c>
      <c r="I149" s="31" t="n">
        <v>241.81</v>
      </c>
      <c r="J149" s="32" t="s">
        <v>1197</v>
      </c>
      <c r="K149" s="49" t="n">
        <v>148</v>
      </c>
      <c r="L149" s="33" t="s">
        <v>68</v>
      </c>
      <c r="M149" s="33" t="n">
        <v>21000000201</v>
      </c>
      <c r="N149" s="34" t="s">
        <v>1198</v>
      </c>
      <c r="O149" s="33" t="s">
        <v>70</v>
      </c>
      <c r="P149" s="33" t="n">
        <f aca="false">SUM(R149:AP149)</f>
        <v>100</v>
      </c>
      <c r="Q149" s="33" t="s">
        <v>71</v>
      </c>
      <c r="R149" s="33"/>
      <c r="S149" s="33"/>
      <c r="T149" s="33"/>
      <c r="U149" s="33"/>
      <c r="V149" s="33"/>
      <c r="W149" s="33" t="n">
        <v>100</v>
      </c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0"/>
      <c r="AJ149" s="33"/>
      <c r="AK149" s="33"/>
      <c r="AL149" s="33"/>
      <c r="AM149" s="33"/>
      <c r="AN149" s="33"/>
      <c r="AO149" s="33"/>
      <c r="AP149" s="33"/>
      <c r="AQ149" s="35" t="s">
        <v>1198</v>
      </c>
      <c r="AR149" s="33" t="s">
        <v>1130</v>
      </c>
      <c r="AS149" s="36" t="n">
        <f aca="false">AVERAGE(AV149,BB149,BH149)</f>
        <v>2.47433333333333</v>
      </c>
      <c r="AT149" s="21" t="n">
        <f aca="false">(AS149*1.3)</f>
        <v>3.21663333333333</v>
      </c>
      <c r="AU149" s="48" t="s">
        <v>128</v>
      </c>
      <c r="AV149" s="36" t="n">
        <f aca="false">213.63/100</f>
        <v>2.1363</v>
      </c>
      <c r="AW149" s="32" t="s">
        <v>1199</v>
      </c>
      <c r="AX149" s="49" t="s">
        <v>130</v>
      </c>
      <c r="AY149" s="33" t="s">
        <v>131</v>
      </c>
      <c r="AZ149" s="40" t="n">
        <v>44999</v>
      </c>
      <c r="BA149" s="44" t="s">
        <v>107</v>
      </c>
      <c r="BB149" s="36" t="n">
        <f aca="false">280.67 /100</f>
        <v>2.8067</v>
      </c>
      <c r="BC149" s="32" t="s">
        <v>1200</v>
      </c>
      <c r="BD149" s="49" t="s">
        <v>109</v>
      </c>
      <c r="BE149" s="33" t="s">
        <v>110</v>
      </c>
      <c r="BF149" s="40" t="n">
        <v>44999</v>
      </c>
      <c r="BG149" s="56" t="s">
        <v>350</v>
      </c>
      <c r="BH149" s="36" t="n">
        <f aca="false">248/100</f>
        <v>2.48</v>
      </c>
      <c r="BI149" s="32" t="s">
        <v>1201</v>
      </c>
      <c r="BJ149" s="49" t="s">
        <v>97</v>
      </c>
      <c r="BK149" s="33" t="s">
        <v>98</v>
      </c>
      <c r="BL149" s="40" t="n">
        <v>44999</v>
      </c>
    </row>
    <row r="150" customFormat="false" ht="395.25" hidden="false" customHeight="false" outlineLevel="0" collapsed="false">
      <c r="A150" s="12" t="s">
        <v>22</v>
      </c>
      <c r="B150" s="12" t="s">
        <v>1202</v>
      </c>
      <c r="C150" s="13" t="s">
        <v>1203</v>
      </c>
      <c r="D150" s="14" t="s">
        <v>65</v>
      </c>
      <c r="E150" s="14" t="s">
        <v>66</v>
      </c>
      <c r="F150" s="14" t="n">
        <v>500</v>
      </c>
      <c r="G150" s="14" t="n">
        <v>500</v>
      </c>
      <c r="H150" s="15" t="n">
        <v>120</v>
      </c>
      <c r="I150" s="15" t="n">
        <v>60000</v>
      </c>
      <c r="J150" s="16" t="s">
        <v>1204</v>
      </c>
      <c r="K150" s="45" t="n">
        <v>149</v>
      </c>
      <c r="L150" s="17" t="s">
        <v>68</v>
      </c>
      <c r="M150" s="17" t="n">
        <v>21000000290</v>
      </c>
      <c r="N150" s="18" t="s">
        <v>1205</v>
      </c>
      <c r="O150" s="17" t="s">
        <v>70</v>
      </c>
      <c r="P150" s="17" t="n">
        <f aca="false">SUM(R150:AP150)</f>
        <v>15000</v>
      </c>
      <c r="Q150" s="17" t="s">
        <v>71</v>
      </c>
      <c r="R150" s="17"/>
      <c r="S150" s="17"/>
      <c r="T150" s="17"/>
      <c r="U150" s="17"/>
      <c r="V150" s="17"/>
      <c r="W150" s="17" t="n">
        <v>500</v>
      </c>
      <c r="X150" s="17"/>
      <c r="Y150" s="17"/>
      <c r="Z150" s="17"/>
      <c r="AA150" s="17"/>
      <c r="AB150" s="17"/>
      <c r="AC150" s="17" t="n">
        <v>500</v>
      </c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 t="n">
        <v>5000</v>
      </c>
      <c r="AP150" s="17" t="n">
        <v>9000</v>
      </c>
      <c r="AQ150" s="19" t="s">
        <v>1205</v>
      </c>
      <c r="AR150" s="17" t="s">
        <v>294</v>
      </c>
      <c r="AS150" s="20" t="n">
        <f aca="false">AVERAGE(AV150,BB150,BH150)</f>
        <v>0.16686</v>
      </c>
      <c r="AT150" s="21" t="n">
        <f aca="false">(AS150*1.3)</f>
        <v>0.216918</v>
      </c>
      <c r="AU150" s="7" t="s">
        <v>107</v>
      </c>
      <c r="AV150" s="20" t="n">
        <f aca="false">79.82/500</f>
        <v>0.15964</v>
      </c>
      <c r="AW150" s="23" t="s">
        <v>1206</v>
      </c>
      <c r="AX150" s="17" t="s">
        <v>506</v>
      </c>
      <c r="AY150" s="17" t="s">
        <v>1207</v>
      </c>
      <c r="AZ150" s="25" t="n">
        <v>44999</v>
      </c>
      <c r="BA150" s="10" t="s">
        <v>128</v>
      </c>
      <c r="BB150" s="20" t="n">
        <f aca="false">75.02/500</f>
        <v>0.15004</v>
      </c>
      <c r="BC150" s="23" t="s">
        <v>1208</v>
      </c>
      <c r="BD150" s="17" t="s">
        <v>179</v>
      </c>
      <c r="BE150" s="17" t="s">
        <v>1209</v>
      </c>
      <c r="BF150" s="25" t="n">
        <v>44999</v>
      </c>
      <c r="BG150" s="56" t="s">
        <v>157</v>
      </c>
      <c r="BH150" s="20" t="n">
        <f aca="false">95.45/500</f>
        <v>0.1909</v>
      </c>
      <c r="BI150" s="23" t="s">
        <v>1210</v>
      </c>
      <c r="BJ150" s="45" t="s">
        <v>159</v>
      </c>
      <c r="BK150" s="17" t="s">
        <v>1018</v>
      </c>
      <c r="BL150" s="25" t="n">
        <v>44999</v>
      </c>
    </row>
    <row r="151" customFormat="false" ht="226.5" hidden="false" customHeight="false" outlineLevel="0" collapsed="false">
      <c r="A151" s="28" t="s">
        <v>25</v>
      </c>
      <c r="B151" s="28" t="s">
        <v>1211</v>
      </c>
      <c r="C151" s="29" t="s">
        <v>1212</v>
      </c>
      <c r="D151" s="30" t="s">
        <v>65</v>
      </c>
      <c r="E151" s="30" t="s">
        <v>66</v>
      </c>
      <c r="F151" s="30" t="n">
        <v>1</v>
      </c>
      <c r="G151" s="30" t="n">
        <v>1</v>
      </c>
      <c r="H151" s="31" t="n">
        <v>90</v>
      </c>
      <c r="I151" s="31" t="n">
        <v>90</v>
      </c>
      <c r="J151" s="32" t="s">
        <v>1213</v>
      </c>
      <c r="K151" s="49" t="n">
        <v>150</v>
      </c>
      <c r="L151" s="33" t="s">
        <v>68</v>
      </c>
      <c r="M151" s="33" t="n">
        <v>21000000135</v>
      </c>
      <c r="N151" s="34" t="s">
        <v>1214</v>
      </c>
      <c r="O151" s="33" t="s">
        <v>200</v>
      </c>
      <c r="P151" s="33" t="n">
        <f aca="false">SUM(R151:AP151)</f>
        <v>3</v>
      </c>
      <c r="Q151" s="33" t="s">
        <v>71</v>
      </c>
      <c r="R151" s="33"/>
      <c r="S151" s="33"/>
      <c r="T151" s="33"/>
      <c r="U151" s="33"/>
      <c r="V151" s="33"/>
      <c r="W151" s="33"/>
      <c r="X151" s="33"/>
      <c r="Y151" s="33"/>
      <c r="Z151" s="33" t="n">
        <v>1</v>
      </c>
      <c r="AA151" s="33"/>
      <c r="AB151" s="33" t="n">
        <v>2</v>
      </c>
      <c r="AC151" s="33"/>
      <c r="AD151" s="33"/>
      <c r="AE151" s="33"/>
      <c r="AF151" s="33"/>
      <c r="AG151" s="33"/>
      <c r="AH151" s="33"/>
      <c r="AI151" s="30"/>
      <c r="AJ151" s="33"/>
      <c r="AK151" s="33"/>
      <c r="AL151" s="33"/>
      <c r="AM151" s="33"/>
      <c r="AN151" s="33"/>
      <c r="AO151" s="33"/>
      <c r="AP151" s="33"/>
      <c r="AQ151" s="35" t="s">
        <v>1214</v>
      </c>
      <c r="AR151" s="33" t="s">
        <v>294</v>
      </c>
      <c r="AS151" s="36" t="n">
        <f aca="false">AVERAGE(AV151,BB151,BH151)</f>
        <v>119.13</v>
      </c>
      <c r="AT151" s="21" t="n">
        <f aca="false">(AS151*1.3)</f>
        <v>154.869</v>
      </c>
      <c r="AU151" s="7" t="s">
        <v>128</v>
      </c>
      <c r="AV151" s="36" t="n">
        <v>145.2</v>
      </c>
      <c r="AW151" s="38" t="s">
        <v>1215</v>
      </c>
      <c r="AX151" s="33" t="s">
        <v>179</v>
      </c>
      <c r="AY151" s="33" t="s">
        <v>1209</v>
      </c>
      <c r="AZ151" s="40" t="n">
        <v>44999</v>
      </c>
      <c r="BA151" s="10" t="s">
        <v>128</v>
      </c>
      <c r="BB151" s="36" t="n">
        <v>74.7</v>
      </c>
      <c r="BC151" s="38" t="s">
        <v>1216</v>
      </c>
      <c r="BD151" s="33" t="s">
        <v>179</v>
      </c>
      <c r="BE151" s="33" t="s">
        <v>98</v>
      </c>
      <c r="BF151" s="40" t="n">
        <v>44999</v>
      </c>
      <c r="BG151" s="11" t="s">
        <v>1217</v>
      </c>
      <c r="BH151" s="36" t="n">
        <v>137.49</v>
      </c>
      <c r="BI151" s="38" t="s">
        <v>1218</v>
      </c>
      <c r="BJ151" s="33" t="s">
        <v>1219</v>
      </c>
      <c r="BK151" s="33" t="s">
        <v>1220</v>
      </c>
      <c r="BL151" s="40" t="n">
        <v>44999</v>
      </c>
    </row>
    <row r="152" customFormat="false" ht="350.25" hidden="false" customHeight="false" outlineLevel="0" collapsed="false">
      <c r="A152" s="12" t="s">
        <v>26</v>
      </c>
      <c r="B152" s="12" t="s">
        <v>1221</v>
      </c>
      <c r="C152" s="13" t="s">
        <v>1222</v>
      </c>
      <c r="D152" s="14" t="s">
        <v>65</v>
      </c>
      <c r="E152" s="14" t="s">
        <v>66</v>
      </c>
      <c r="F152" s="14" t="n">
        <v>2</v>
      </c>
      <c r="G152" s="14" t="n">
        <v>50</v>
      </c>
      <c r="H152" s="15" t="n">
        <v>2.31</v>
      </c>
      <c r="I152" s="15" t="n">
        <v>4.62</v>
      </c>
      <c r="J152" s="16" t="s">
        <v>1223</v>
      </c>
      <c r="K152" s="45" t="n">
        <v>151</v>
      </c>
      <c r="L152" s="17" t="s">
        <v>68</v>
      </c>
      <c r="M152" s="17" t="n">
        <v>21000000358</v>
      </c>
      <c r="N152" s="18" t="s">
        <v>1224</v>
      </c>
      <c r="O152" s="17" t="s">
        <v>70</v>
      </c>
      <c r="P152" s="17" t="n">
        <f aca="false">SUM(R152:AP152)</f>
        <v>100</v>
      </c>
      <c r="Q152" s="17" t="s">
        <v>71</v>
      </c>
      <c r="R152" s="17"/>
      <c r="S152" s="17"/>
      <c r="T152" s="17"/>
      <c r="U152" s="17"/>
      <c r="V152" s="17"/>
      <c r="W152" s="17"/>
      <c r="X152" s="17"/>
      <c r="Y152" s="17"/>
      <c r="Z152" s="17"/>
      <c r="AA152" s="17" t="n">
        <v>50</v>
      </c>
      <c r="AB152" s="17"/>
      <c r="AC152" s="17"/>
      <c r="AD152" s="17"/>
      <c r="AE152" s="17"/>
      <c r="AF152" s="17"/>
      <c r="AG152" s="17"/>
      <c r="AH152" s="17"/>
      <c r="AI152" s="17" t="n">
        <v>50</v>
      </c>
      <c r="AJ152" s="17"/>
      <c r="AK152" s="14"/>
      <c r="AL152" s="17"/>
      <c r="AM152" s="17"/>
      <c r="AN152" s="17"/>
      <c r="AO152" s="17"/>
      <c r="AP152" s="17"/>
      <c r="AQ152" s="19" t="s">
        <v>1224</v>
      </c>
      <c r="AR152" s="17" t="s">
        <v>294</v>
      </c>
      <c r="AS152" s="20" t="n">
        <f aca="false">AVERAGE(AV152,BB152,BH152)</f>
        <v>0.639693333333333</v>
      </c>
      <c r="AT152" s="21" t="n">
        <f aca="false">(AS152*1.3)</f>
        <v>0.831601333333333</v>
      </c>
      <c r="AU152" s="7" t="s">
        <v>128</v>
      </c>
      <c r="AV152" s="20" t="n">
        <f aca="false">177.31 /250</f>
        <v>0.70924</v>
      </c>
      <c r="AW152" s="23" t="s">
        <v>1225</v>
      </c>
      <c r="AX152" s="17" t="s">
        <v>179</v>
      </c>
      <c r="AY152" s="17" t="s">
        <v>1226</v>
      </c>
      <c r="AZ152" s="25" t="n">
        <v>44999</v>
      </c>
      <c r="BA152" s="10" t="s">
        <v>104</v>
      </c>
      <c r="BB152" s="20" t="n">
        <f aca="false">158.54/250</f>
        <v>0.63416</v>
      </c>
      <c r="BC152" s="23" t="s">
        <v>1227</v>
      </c>
      <c r="BD152" s="17" t="s">
        <v>420</v>
      </c>
      <c r="BE152" s="17" t="s">
        <v>1226</v>
      </c>
      <c r="BF152" s="25" t="n">
        <v>44999</v>
      </c>
      <c r="BG152" s="11" t="s">
        <v>128</v>
      </c>
      <c r="BH152" s="20" t="n">
        <f aca="false">143.92/ 250</f>
        <v>0.57568</v>
      </c>
      <c r="BI152" s="23" t="s">
        <v>1228</v>
      </c>
      <c r="BJ152" s="17" t="s">
        <v>179</v>
      </c>
      <c r="BK152" s="17" t="s">
        <v>1209</v>
      </c>
      <c r="BL152" s="25" t="n">
        <v>44999</v>
      </c>
    </row>
    <row r="153" customFormat="false" ht="170.25" hidden="false" customHeight="false" outlineLevel="0" collapsed="false">
      <c r="A153" s="28" t="s">
        <v>39</v>
      </c>
      <c r="B153" s="28" t="s">
        <v>1229</v>
      </c>
      <c r="C153" s="29" t="s">
        <v>1230</v>
      </c>
      <c r="D153" s="30" t="s">
        <v>65</v>
      </c>
      <c r="E153" s="30" t="s">
        <v>66</v>
      </c>
      <c r="F153" s="30" t="n">
        <v>1</v>
      </c>
      <c r="G153" s="30" t="n">
        <v>1</v>
      </c>
      <c r="H153" s="31" t="n">
        <v>433.77</v>
      </c>
      <c r="I153" s="31" t="n">
        <v>433.77</v>
      </c>
      <c r="J153" s="38" t="s">
        <v>1231</v>
      </c>
      <c r="K153" s="49" t="n">
        <v>152</v>
      </c>
      <c r="L153" s="33" t="s">
        <v>68</v>
      </c>
      <c r="M153" s="33" t="n">
        <v>21000000501</v>
      </c>
      <c r="N153" s="34" t="s">
        <v>1232</v>
      </c>
      <c r="O153" s="33" t="s">
        <v>200</v>
      </c>
      <c r="P153" s="33" t="n">
        <f aca="false">SUM(R153:AP153)</f>
        <v>1</v>
      </c>
      <c r="Q153" s="33" t="s">
        <v>71</v>
      </c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0"/>
      <c r="AL153" s="33"/>
      <c r="AM153" s="33"/>
      <c r="AN153" s="33" t="n">
        <v>1</v>
      </c>
      <c r="AO153" s="33"/>
      <c r="AP153" s="33"/>
      <c r="AQ153" s="35" t="s">
        <v>1232</v>
      </c>
      <c r="AR153" s="33" t="s">
        <v>294</v>
      </c>
      <c r="AS153" s="36" t="n">
        <f aca="false">AVERAGE(AV153,BB153,BH153)</f>
        <v>630.896666666667</v>
      </c>
      <c r="AT153" s="21" t="n">
        <f aca="false">(AS153*1.3)</f>
        <v>820.165666666667</v>
      </c>
      <c r="AU153" s="7" t="s">
        <v>128</v>
      </c>
      <c r="AV153" s="36" t="n">
        <v>620</v>
      </c>
      <c r="AW153" s="38" t="s">
        <v>1233</v>
      </c>
      <c r="AX153" s="33" t="s">
        <v>179</v>
      </c>
      <c r="AY153" s="33" t="s">
        <v>299</v>
      </c>
      <c r="AZ153" s="40" t="n">
        <v>44999</v>
      </c>
      <c r="BA153" s="10" t="s">
        <v>107</v>
      </c>
      <c r="BB153" s="36" t="n">
        <v>425</v>
      </c>
      <c r="BC153" s="38" t="s">
        <v>1234</v>
      </c>
      <c r="BD153" s="33" t="s">
        <v>506</v>
      </c>
      <c r="BE153" s="33" t="s">
        <v>297</v>
      </c>
      <c r="BF153" s="40" t="n">
        <v>44999</v>
      </c>
      <c r="BG153" s="11" t="s">
        <v>307</v>
      </c>
      <c r="BH153" s="36" t="n">
        <v>847.69</v>
      </c>
      <c r="BI153" s="38" t="s">
        <v>1235</v>
      </c>
      <c r="BJ153" s="33" t="s">
        <v>309</v>
      </c>
      <c r="BK153" s="33" t="s">
        <v>1236</v>
      </c>
      <c r="BL153" s="40" t="n">
        <v>44999</v>
      </c>
    </row>
    <row r="154" customFormat="false" ht="339" hidden="false" customHeight="false" outlineLevel="0" collapsed="false">
      <c r="A154" s="12" t="s">
        <v>25</v>
      </c>
      <c r="B154" s="12" t="s">
        <v>1237</v>
      </c>
      <c r="C154" s="13" t="s">
        <v>1238</v>
      </c>
      <c r="D154" s="14" t="s">
        <v>65</v>
      </c>
      <c r="E154" s="14" t="s">
        <v>66</v>
      </c>
      <c r="F154" s="14" t="n">
        <v>2</v>
      </c>
      <c r="G154" s="14" t="n">
        <v>200</v>
      </c>
      <c r="H154" s="15" t="n">
        <v>100</v>
      </c>
      <c r="I154" s="15" t="n">
        <v>200</v>
      </c>
      <c r="J154" s="16" t="s">
        <v>1239</v>
      </c>
      <c r="K154" s="45" t="n">
        <v>153</v>
      </c>
      <c r="L154" s="17" t="s">
        <v>68</v>
      </c>
      <c r="M154" s="17" t="n">
        <v>21000000558</v>
      </c>
      <c r="N154" s="18" t="s">
        <v>1240</v>
      </c>
      <c r="O154" s="17" t="s">
        <v>70</v>
      </c>
      <c r="P154" s="17" t="n">
        <f aca="false">SUM(R154:AP154)</f>
        <v>200</v>
      </c>
      <c r="Q154" s="17" t="s">
        <v>71</v>
      </c>
      <c r="R154" s="17"/>
      <c r="S154" s="17"/>
      <c r="T154" s="17"/>
      <c r="U154" s="17"/>
      <c r="V154" s="17"/>
      <c r="W154" s="17"/>
      <c r="X154" s="17"/>
      <c r="Y154" s="17"/>
      <c r="Z154" s="17" t="n">
        <v>200</v>
      </c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9" t="s">
        <v>1240</v>
      </c>
      <c r="AR154" s="17" t="s">
        <v>294</v>
      </c>
      <c r="AS154" s="20" t="n">
        <f aca="false">AVERAGE(AV154,BB154,BH154)</f>
        <v>7.41535</v>
      </c>
      <c r="AT154" s="21" t="n">
        <f aca="false">(AS154*1.3)</f>
        <v>9.639955</v>
      </c>
      <c r="AU154" s="7" t="s">
        <v>128</v>
      </c>
      <c r="AV154" s="20" t="n">
        <f aca="false">1461.07 /100</f>
        <v>14.6107</v>
      </c>
      <c r="AW154" s="23" t="s">
        <v>1241</v>
      </c>
      <c r="AX154" s="17" t="s">
        <v>179</v>
      </c>
      <c r="AY154" s="17" t="s">
        <v>98</v>
      </c>
      <c r="AZ154" s="25" t="n">
        <v>44999</v>
      </c>
      <c r="BA154" s="10"/>
      <c r="BB154" s="20"/>
      <c r="BC154" s="17"/>
      <c r="BD154" s="17"/>
      <c r="BE154" s="17"/>
      <c r="BF154" s="17"/>
      <c r="BG154" s="11" t="s">
        <v>128</v>
      </c>
      <c r="BH154" s="20" t="n">
        <v>0.22</v>
      </c>
      <c r="BI154" s="53" t="s">
        <v>1242</v>
      </c>
      <c r="BJ154" s="17" t="s">
        <v>179</v>
      </c>
      <c r="BK154" s="17" t="s">
        <v>1209</v>
      </c>
      <c r="BL154" s="17"/>
    </row>
    <row r="155" customFormat="false" ht="530.25" hidden="false" customHeight="false" outlineLevel="0" collapsed="false">
      <c r="A155" s="28" t="s">
        <v>38</v>
      </c>
      <c r="B155" s="28" t="s">
        <v>1243</v>
      </c>
      <c r="C155" s="29" t="s">
        <v>1244</v>
      </c>
      <c r="D155" s="30" t="s">
        <v>65</v>
      </c>
      <c r="E155" s="30" t="s">
        <v>66</v>
      </c>
      <c r="F155" s="30" t="n">
        <v>1</v>
      </c>
      <c r="G155" s="30" t="n">
        <v>100</v>
      </c>
      <c r="H155" s="31" t="n">
        <v>66</v>
      </c>
      <c r="I155" s="31" t="n">
        <v>66</v>
      </c>
      <c r="J155" s="32" t="s">
        <v>1245</v>
      </c>
      <c r="K155" s="49" t="n">
        <v>154</v>
      </c>
      <c r="L155" s="33" t="s">
        <v>68</v>
      </c>
      <c r="M155" s="33" t="n">
        <v>21000000204</v>
      </c>
      <c r="N155" s="34" t="s">
        <v>1246</v>
      </c>
      <c r="O155" s="33" t="s">
        <v>70</v>
      </c>
      <c r="P155" s="33" t="n">
        <f aca="false">SUM(R155:AP155)</f>
        <v>100</v>
      </c>
      <c r="Q155" s="33" t="s">
        <v>71</v>
      </c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0"/>
      <c r="AJ155" s="33"/>
      <c r="AK155" s="33"/>
      <c r="AL155" s="33"/>
      <c r="AM155" s="33" t="n">
        <v>100</v>
      </c>
      <c r="AN155" s="33"/>
      <c r="AO155" s="33"/>
      <c r="AP155" s="33"/>
      <c r="AQ155" s="35" t="s">
        <v>1246</v>
      </c>
      <c r="AR155" s="33" t="s">
        <v>294</v>
      </c>
      <c r="AS155" s="36" t="n">
        <f aca="false">AVERAGE(AV155,BB155,BH155)</f>
        <v>1.1739</v>
      </c>
      <c r="AT155" s="21" t="n">
        <f aca="false">(AS155*1.3)</f>
        <v>1.52607</v>
      </c>
      <c r="AU155" s="7" t="s">
        <v>87</v>
      </c>
      <c r="AV155" s="36" t="n">
        <f aca="false">111.02/100</f>
        <v>1.1102</v>
      </c>
      <c r="AW155" s="38" t="s">
        <v>1247</v>
      </c>
      <c r="AX155" s="33" t="s">
        <v>89</v>
      </c>
      <c r="AY155" s="33" t="s">
        <v>90</v>
      </c>
      <c r="AZ155" s="40" t="n">
        <v>44999</v>
      </c>
      <c r="BA155" s="10" t="s">
        <v>107</v>
      </c>
      <c r="BB155" s="36" t="n">
        <f aca="false">113.04/100</f>
        <v>1.1304</v>
      </c>
      <c r="BC155" s="38" t="s">
        <v>1248</v>
      </c>
      <c r="BD155" s="33" t="s">
        <v>506</v>
      </c>
      <c r="BE155" s="33" t="s">
        <v>1207</v>
      </c>
      <c r="BF155" s="40" t="n">
        <v>44999</v>
      </c>
      <c r="BG155" s="11" t="s">
        <v>128</v>
      </c>
      <c r="BH155" s="36" t="n">
        <f aca="false">128.11/100</f>
        <v>1.2811</v>
      </c>
      <c r="BI155" s="38" t="s">
        <v>1249</v>
      </c>
      <c r="BJ155" s="33" t="s">
        <v>179</v>
      </c>
      <c r="BK155" s="33" t="s">
        <v>1226</v>
      </c>
      <c r="BL155" s="40" t="n">
        <v>44999</v>
      </c>
    </row>
    <row r="156" customFormat="false" ht="406.5" hidden="false" customHeight="false" outlineLevel="0" collapsed="false">
      <c r="A156" s="12" t="s">
        <v>25</v>
      </c>
      <c r="B156" s="12" t="s">
        <v>1250</v>
      </c>
      <c r="C156" s="13" t="s">
        <v>1251</v>
      </c>
      <c r="D156" s="14" t="s">
        <v>65</v>
      </c>
      <c r="E156" s="14" t="s">
        <v>66</v>
      </c>
      <c r="F156" s="14" t="n">
        <v>200</v>
      </c>
      <c r="G156" s="14" t="n">
        <v>200</v>
      </c>
      <c r="H156" s="15" t="n">
        <v>1.2</v>
      </c>
      <c r="I156" s="15" t="n">
        <v>240</v>
      </c>
      <c r="J156" s="23" t="s">
        <v>1252</v>
      </c>
      <c r="K156" s="45" t="n">
        <v>155</v>
      </c>
      <c r="L156" s="17" t="s">
        <v>68</v>
      </c>
      <c r="M156" s="17" t="n">
        <v>21000000560</v>
      </c>
      <c r="N156" s="18" t="s">
        <v>1253</v>
      </c>
      <c r="O156" s="17" t="s">
        <v>70</v>
      </c>
      <c r="P156" s="17" t="n">
        <f aca="false">SUM(R156:AP156)</f>
        <v>200</v>
      </c>
      <c r="Q156" s="17" t="s">
        <v>71</v>
      </c>
      <c r="R156" s="17"/>
      <c r="S156" s="17"/>
      <c r="T156" s="17"/>
      <c r="U156" s="17"/>
      <c r="V156" s="17"/>
      <c r="W156" s="17"/>
      <c r="X156" s="17"/>
      <c r="Y156" s="17"/>
      <c r="Z156" s="17" t="n">
        <v>200</v>
      </c>
      <c r="AA156" s="17"/>
      <c r="AB156" s="17"/>
      <c r="AC156" s="17"/>
      <c r="AD156" s="17"/>
      <c r="AE156" s="17"/>
      <c r="AF156" s="17"/>
      <c r="AG156" s="17"/>
      <c r="AH156" s="17"/>
      <c r="AI156" s="14"/>
      <c r="AJ156" s="17"/>
      <c r="AK156" s="17"/>
      <c r="AL156" s="17"/>
      <c r="AM156" s="17"/>
      <c r="AN156" s="17"/>
      <c r="AO156" s="17"/>
      <c r="AP156" s="17"/>
      <c r="AQ156" s="19" t="s">
        <v>1253</v>
      </c>
      <c r="AR156" s="17" t="s">
        <v>294</v>
      </c>
      <c r="AS156" s="20" t="n">
        <f aca="false">AVERAGE(AV156,BB156,BH156)</f>
        <v>0.619233333333333</v>
      </c>
      <c r="AT156" s="21" t="n">
        <f aca="false">(AS156*1.3)</f>
        <v>0.805003333333333</v>
      </c>
      <c r="AU156" s="7" t="s">
        <v>87</v>
      </c>
      <c r="AV156" s="20" t="n">
        <f aca="false">80.45/100</f>
        <v>0.8045</v>
      </c>
      <c r="AW156" s="16" t="s">
        <v>1254</v>
      </c>
      <c r="AX156" s="17" t="s">
        <v>89</v>
      </c>
      <c r="AY156" s="17" t="s">
        <v>90</v>
      </c>
      <c r="AZ156" s="25" t="n">
        <v>44999</v>
      </c>
      <c r="BA156" s="10" t="s">
        <v>107</v>
      </c>
      <c r="BB156" s="20" t="n">
        <f aca="false">44.23/100</f>
        <v>0.4423</v>
      </c>
      <c r="BC156" s="23" t="s">
        <v>1255</v>
      </c>
      <c r="BD156" s="17" t="s">
        <v>506</v>
      </c>
      <c r="BE156" s="17" t="s">
        <v>1207</v>
      </c>
      <c r="BF156" s="25" t="n">
        <v>44999</v>
      </c>
      <c r="BG156" s="11" t="s">
        <v>128</v>
      </c>
      <c r="BH156" s="20" t="n">
        <f aca="false">61.09/100</f>
        <v>0.6109</v>
      </c>
      <c r="BI156" s="23" t="s">
        <v>1256</v>
      </c>
      <c r="BJ156" s="17" t="s">
        <v>179</v>
      </c>
      <c r="BK156" s="17" t="s">
        <v>1209</v>
      </c>
      <c r="BL156" s="25" t="n">
        <v>44999</v>
      </c>
    </row>
    <row r="157" customFormat="false" ht="406.5" hidden="false" customHeight="false" outlineLevel="0" collapsed="false">
      <c r="A157" s="28" t="s">
        <v>36</v>
      </c>
      <c r="B157" s="28" t="s">
        <v>1257</v>
      </c>
      <c r="C157" s="29" t="s">
        <v>1258</v>
      </c>
      <c r="D157" s="30" t="s">
        <v>65</v>
      </c>
      <c r="E157" s="30" t="s">
        <v>66</v>
      </c>
      <c r="F157" s="30" t="n">
        <v>500</v>
      </c>
      <c r="G157" s="30" t="n">
        <v>7000</v>
      </c>
      <c r="H157" s="31" t="n">
        <v>0.08</v>
      </c>
      <c r="I157" s="31" t="n">
        <v>560</v>
      </c>
      <c r="J157" s="32" t="s">
        <v>1259</v>
      </c>
      <c r="K157" s="49" t="n">
        <v>156</v>
      </c>
      <c r="L157" s="33" t="s">
        <v>68</v>
      </c>
      <c r="M157" s="33" t="n">
        <v>21000000154</v>
      </c>
      <c r="N157" s="34" t="s">
        <v>1260</v>
      </c>
      <c r="O157" s="33" t="s">
        <v>70</v>
      </c>
      <c r="P157" s="33" t="n">
        <f aca="false">SUM(R157:AP157)</f>
        <v>7000</v>
      </c>
      <c r="Q157" s="33" t="s">
        <v>71</v>
      </c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0"/>
      <c r="AJ157" s="33"/>
      <c r="AK157" s="33" t="n">
        <v>7000</v>
      </c>
      <c r="AL157" s="33"/>
      <c r="AM157" s="33"/>
      <c r="AN157" s="33"/>
      <c r="AO157" s="33"/>
      <c r="AP157" s="33"/>
      <c r="AQ157" s="35" t="s">
        <v>1260</v>
      </c>
      <c r="AR157" s="33" t="s">
        <v>294</v>
      </c>
      <c r="AS157" s="36" t="n">
        <f aca="false">AVERAGE(AV157,BB157,BH157)</f>
        <v>0.564366666666667</v>
      </c>
      <c r="AT157" s="21" t="n">
        <f aca="false">(AS157*1.3)</f>
        <v>0.733676666666667</v>
      </c>
      <c r="AU157" s="7" t="s">
        <v>128</v>
      </c>
      <c r="AV157" s="36" t="n">
        <f aca="false">330.17/500</f>
        <v>0.66034</v>
      </c>
      <c r="AW157" s="38" t="s">
        <v>1261</v>
      </c>
      <c r="AX157" s="33" t="s">
        <v>179</v>
      </c>
      <c r="AY157" s="33" t="s">
        <v>98</v>
      </c>
      <c r="AZ157" s="40" t="n">
        <v>44999</v>
      </c>
      <c r="BA157" s="44" t="s">
        <v>157</v>
      </c>
      <c r="BB157" s="36" t="n">
        <f aca="false">299.99/500</f>
        <v>0.59998</v>
      </c>
      <c r="BC157" s="38" t="s">
        <v>1262</v>
      </c>
      <c r="BD157" s="49" t="s">
        <v>159</v>
      </c>
      <c r="BE157" s="33" t="s">
        <v>76</v>
      </c>
      <c r="BF157" s="40" t="n">
        <v>44999</v>
      </c>
      <c r="BG157" s="11" t="s">
        <v>104</v>
      </c>
      <c r="BH157" s="36" t="n">
        <f aca="false">216.39/500</f>
        <v>0.43278</v>
      </c>
      <c r="BI157" s="38" t="s">
        <v>1263</v>
      </c>
      <c r="BJ157" s="33" t="s">
        <v>420</v>
      </c>
      <c r="BK157" s="33" t="s">
        <v>1226</v>
      </c>
      <c r="BL157" s="40" t="n">
        <v>44999</v>
      </c>
    </row>
    <row r="158" customFormat="false" ht="429" hidden="false" customHeight="false" outlineLevel="0" collapsed="false">
      <c r="A158" s="12" t="s">
        <v>22</v>
      </c>
      <c r="B158" s="12" t="s">
        <v>1264</v>
      </c>
      <c r="C158" s="13" t="s">
        <v>1265</v>
      </c>
      <c r="D158" s="14" t="s">
        <v>65</v>
      </c>
      <c r="E158" s="14" t="s">
        <v>66</v>
      </c>
      <c r="F158" s="14" t="n">
        <v>100</v>
      </c>
      <c r="G158" s="14" t="n">
        <v>100</v>
      </c>
      <c r="H158" s="15" t="n">
        <v>609</v>
      </c>
      <c r="I158" s="15" t="n">
        <v>609</v>
      </c>
      <c r="J158" s="16" t="s">
        <v>1266</v>
      </c>
      <c r="K158" s="45" t="n">
        <v>157</v>
      </c>
      <c r="L158" s="17" t="s">
        <v>68</v>
      </c>
      <c r="M158" s="17" t="n">
        <v>21000000295</v>
      </c>
      <c r="N158" s="18" t="s">
        <v>1267</v>
      </c>
      <c r="O158" s="17" t="s">
        <v>70</v>
      </c>
      <c r="P158" s="17" t="n">
        <f aca="false">SUM(R158:AP158)</f>
        <v>100</v>
      </c>
      <c r="Q158" s="17" t="s">
        <v>71</v>
      </c>
      <c r="R158" s="17"/>
      <c r="S158" s="17"/>
      <c r="T158" s="17"/>
      <c r="U158" s="17"/>
      <c r="V158" s="17"/>
      <c r="W158" s="17" t="n">
        <v>100</v>
      </c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4"/>
      <c r="AJ158" s="17"/>
      <c r="AK158" s="17"/>
      <c r="AL158" s="17"/>
      <c r="AM158" s="17"/>
      <c r="AN158" s="17"/>
      <c r="AO158" s="17"/>
      <c r="AP158" s="17"/>
      <c r="AQ158" s="19" t="s">
        <v>1267</v>
      </c>
      <c r="AR158" s="17" t="s">
        <v>294</v>
      </c>
      <c r="AS158" s="20" t="n">
        <f aca="false">AVERAGE(AV158,BB158,BH158)</f>
        <v>2.09376666666667</v>
      </c>
      <c r="AT158" s="21" t="n">
        <f aca="false">(AS158*1.3)</f>
        <v>2.72189666666667</v>
      </c>
      <c r="AU158" s="7" t="s">
        <v>128</v>
      </c>
      <c r="AV158" s="20" t="n">
        <f aca="false">243.32/100</f>
        <v>2.4332</v>
      </c>
      <c r="AW158" s="23" t="s">
        <v>1268</v>
      </c>
      <c r="AX158" s="17" t="s">
        <v>179</v>
      </c>
      <c r="AY158" s="17" t="s">
        <v>98</v>
      </c>
      <c r="AZ158" s="25" t="n">
        <v>44999</v>
      </c>
      <c r="BA158" s="10" t="s">
        <v>128</v>
      </c>
      <c r="BB158" s="20" t="n">
        <f aca="false">173.81/100</f>
        <v>1.7381</v>
      </c>
      <c r="BC158" s="23" t="s">
        <v>1269</v>
      </c>
      <c r="BD158" s="17" t="s">
        <v>179</v>
      </c>
      <c r="BE158" s="17" t="s">
        <v>1209</v>
      </c>
      <c r="BF158" s="25" t="n">
        <v>44999</v>
      </c>
      <c r="BG158" s="11" t="s">
        <v>95</v>
      </c>
      <c r="BH158" s="20" t="n">
        <f aca="false">211/100</f>
        <v>2.11</v>
      </c>
      <c r="BI158" s="23" t="s">
        <v>1270</v>
      </c>
      <c r="BJ158" s="17" t="s">
        <v>97</v>
      </c>
      <c r="BK158" s="17" t="s">
        <v>98</v>
      </c>
      <c r="BL158" s="25" t="n">
        <v>44999</v>
      </c>
    </row>
    <row r="159" customFormat="false" ht="496.5" hidden="false" customHeight="false" outlineLevel="0" collapsed="false">
      <c r="A159" s="28" t="s">
        <v>34</v>
      </c>
      <c r="B159" s="28" t="s">
        <v>1271</v>
      </c>
      <c r="C159" s="29" t="s">
        <v>1272</v>
      </c>
      <c r="D159" s="30" t="s">
        <v>65</v>
      </c>
      <c r="E159" s="30" t="s">
        <v>66</v>
      </c>
      <c r="F159" s="30" t="n">
        <v>1000</v>
      </c>
      <c r="G159" s="30" t="n">
        <v>1000</v>
      </c>
      <c r="H159" s="31" t="n">
        <v>0.3</v>
      </c>
      <c r="I159" s="31" t="n">
        <v>300</v>
      </c>
      <c r="J159" s="32" t="s">
        <v>1273</v>
      </c>
      <c r="K159" s="49" t="n">
        <v>158</v>
      </c>
      <c r="L159" s="33" t="s">
        <v>68</v>
      </c>
      <c r="M159" s="33" t="n">
        <v>21000000578</v>
      </c>
      <c r="N159" s="34" t="s">
        <v>1274</v>
      </c>
      <c r="O159" s="33" t="s">
        <v>70</v>
      </c>
      <c r="P159" s="33" t="n">
        <f aca="false">SUM(R159:AP159)</f>
        <v>1000</v>
      </c>
      <c r="Q159" s="33" t="s">
        <v>71</v>
      </c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0" t="n">
        <v>1000</v>
      </c>
      <c r="AJ159" s="33"/>
      <c r="AK159" s="33"/>
      <c r="AL159" s="33"/>
      <c r="AM159" s="33"/>
      <c r="AN159" s="33"/>
      <c r="AO159" s="33"/>
      <c r="AP159" s="33"/>
      <c r="AQ159" s="35" t="s">
        <v>1274</v>
      </c>
      <c r="AR159" s="33" t="s">
        <v>294</v>
      </c>
      <c r="AS159" s="36" t="n">
        <f aca="false">AVERAGE(AV159,BB159,BH159)</f>
        <v>0.417393333333333</v>
      </c>
      <c r="AT159" s="21" t="n">
        <f aca="false">(AS159*1.3)</f>
        <v>0.542611333333333</v>
      </c>
      <c r="AU159" s="7" t="s">
        <v>107</v>
      </c>
      <c r="AV159" s="36" t="n">
        <f aca="false">114.83/500</f>
        <v>0.22966</v>
      </c>
      <c r="AW159" s="38" t="s">
        <v>1275</v>
      </c>
      <c r="AX159" s="33" t="s">
        <v>506</v>
      </c>
      <c r="AY159" s="33" t="s">
        <v>1207</v>
      </c>
      <c r="AZ159" s="40" t="n">
        <v>44999</v>
      </c>
      <c r="BA159" s="10" t="s">
        <v>128</v>
      </c>
      <c r="BB159" s="36" t="n">
        <f aca="false">241.26/500</f>
        <v>0.48252</v>
      </c>
      <c r="BC159" s="38" t="s">
        <v>1276</v>
      </c>
      <c r="BD159" s="33" t="s">
        <v>179</v>
      </c>
      <c r="BE159" s="33" t="s">
        <v>98</v>
      </c>
      <c r="BF159" s="40" t="n">
        <v>44999</v>
      </c>
      <c r="BG159" s="11" t="s">
        <v>91</v>
      </c>
      <c r="BH159" s="36" t="n">
        <f aca="false">270/500</f>
        <v>0.54</v>
      </c>
      <c r="BI159" s="32" t="s">
        <v>1277</v>
      </c>
      <c r="BJ159" s="33" t="s">
        <v>93</v>
      </c>
      <c r="BK159" s="33" t="s">
        <v>731</v>
      </c>
      <c r="BL159" s="40" t="n">
        <v>44999</v>
      </c>
    </row>
    <row r="160" customFormat="false" ht="451.5" hidden="false" customHeight="false" outlineLevel="0" collapsed="false">
      <c r="A160" s="12" t="s">
        <v>34</v>
      </c>
      <c r="B160" s="12" t="s">
        <v>1278</v>
      </c>
      <c r="C160" s="13" t="s">
        <v>1279</v>
      </c>
      <c r="D160" s="14" t="s">
        <v>65</v>
      </c>
      <c r="E160" s="14" t="s">
        <v>66</v>
      </c>
      <c r="F160" s="14" t="n">
        <v>500</v>
      </c>
      <c r="G160" s="14" t="n">
        <v>500</v>
      </c>
      <c r="H160" s="15" t="n">
        <v>0.73</v>
      </c>
      <c r="I160" s="15" t="n">
        <v>365</v>
      </c>
      <c r="J160" s="16" t="s">
        <v>1280</v>
      </c>
      <c r="K160" s="45" t="n">
        <v>159</v>
      </c>
      <c r="L160" s="17" t="s">
        <v>68</v>
      </c>
      <c r="M160" s="17" t="n">
        <v>21000000345</v>
      </c>
      <c r="N160" s="18" t="s">
        <v>1281</v>
      </c>
      <c r="O160" s="17" t="s">
        <v>70</v>
      </c>
      <c r="P160" s="17" t="n">
        <f aca="false">SUM(R160:AP160)</f>
        <v>500</v>
      </c>
      <c r="Q160" s="17" t="s">
        <v>71</v>
      </c>
      <c r="R160" s="17"/>
      <c r="S160" s="17"/>
      <c r="T160" s="17"/>
      <c r="U160" s="17"/>
      <c r="V160" s="17"/>
      <c r="W160" s="17"/>
      <c r="X160" s="17"/>
      <c r="Y160" s="17"/>
      <c r="Z160" s="17"/>
      <c r="AA160" s="82"/>
      <c r="AB160" s="17"/>
      <c r="AC160" s="17"/>
      <c r="AD160" s="17"/>
      <c r="AE160" s="17"/>
      <c r="AF160" s="17"/>
      <c r="AG160" s="17"/>
      <c r="AH160" s="17"/>
      <c r="AI160" s="17" t="n">
        <v>500</v>
      </c>
      <c r="AJ160" s="17"/>
      <c r="AK160" s="17"/>
      <c r="AL160" s="17"/>
      <c r="AM160" s="17"/>
      <c r="AN160" s="17"/>
      <c r="AO160" s="17"/>
      <c r="AP160" s="17"/>
      <c r="AQ160" s="19" t="s">
        <v>1281</v>
      </c>
      <c r="AR160" s="17"/>
      <c r="AS160" s="20" t="e">
        <f aca="false">AVERAGE(AV160,BB160,BH160)</f>
        <v>#DIV/0!</v>
      </c>
      <c r="AT160" s="47" t="e">
        <f aca="false">(AS160*1.3)</f>
        <v>#DIV/0!</v>
      </c>
      <c r="AU160" s="7"/>
      <c r="AV160" s="20"/>
      <c r="AW160" s="17"/>
      <c r="AX160" s="17"/>
      <c r="AY160" s="17"/>
      <c r="AZ160" s="17"/>
      <c r="BA160" s="10"/>
      <c r="BB160" s="20"/>
      <c r="BC160" s="17"/>
      <c r="BD160" s="17"/>
      <c r="BE160" s="17"/>
      <c r="BF160" s="17"/>
      <c r="BG160" s="11"/>
      <c r="BH160" s="20"/>
      <c r="BI160" s="17"/>
      <c r="BJ160" s="17"/>
      <c r="BK160" s="17"/>
      <c r="BL160" s="17"/>
    </row>
    <row r="161" customFormat="false" ht="519" hidden="false" customHeight="false" outlineLevel="0" collapsed="false">
      <c r="A161" s="28" t="s">
        <v>34</v>
      </c>
      <c r="B161" s="28" t="s">
        <v>1282</v>
      </c>
      <c r="C161" s="29" t="s">
        <v>1283</v>
      </c>
      <c r="D161" s="30" t="s">
        <v>65</v>
      </c>
      <c r="E161" s="30" t="s">
        <v>66</v>
      </c>
      <c r="F161" s="30" t="n">
        <v>1</v>
      </c>
      <c r="G161" s="30" t="n">
        <v>1000</v>
      </c>
      <c r="H161" s="31" t="n">
        <v>45</v>
      </c>
      <c r="I161" s="31" t="n">
        <v>45</v>
      </c>
      <c r="J161" s="32" t="s">
        <v>1284</v>
      </c>
      <c r="K161" s="49" t="n">
        <v>160</v>
      </c>
      <c r="L161" s="33" t="s">
        <v>68</v>
      </c>
      <c r="M161" s="33" t="n">
        <v>21000000579</v>
      </c>
      <c r="N161" s="34" t="s">
        <v>1285</v>
      </c>
      <c r="O161" s="33" t="s">
        <v>70</v>
      </c>
      <c r="P161" s="33" t="n">
        <f aca="false">SUM(R161:AP161)</f>
        <v>1000</v>
      </c>
      <c r="Q161" s="33" t="s">
        <v>71</v>
      </c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0" t="n">
        <v>1000</v>
      </c>
      <c r="AJ161" s="33"/>
      <c r="AK161" s="33"/>
      <c r="AL161" s="33"/>
      <c r="AM161" s="33"/>
      <c r="AN161" s="33"/>
      <c r="AO161" s="33"/>
      <c r="AP161" s="33"/>
      <c r="AQ161" s="35" t="s">
        <v>1285</v>
      </c>
      <c r="AR161" s="33" t="s">
        <v>294</v>
      </c>
      <c r="AS161" s="36" t="n">
        <f aca="false">AVERAGE(AV161,BB161,BH161)</f>
        <v>0.0937933333333333</v>
      </c>
      <c r="AT161" s="21" t="n">
        <f aca="false">(AS161*1.3)</f>
        <v>0.121931333333333</v>
      </c>
      <c r="AU161" s="7" t="s">
        <v>128</v>
      </c>
      <c r="AV161" s="36" t="n">
        <f aca="false">48.37/500</f>
        <v>0.09674</v>
      </c>
      <c r="AW161" s="38" t="s">
        <v>1286</v>
      </c>
      <c r="AX161" s="33" t="s">
        <v>179</v>
      </c>
      <c r="AY161" s="33" t="s">
        <v>1226</v>
      </c>
      <c r="AZ161" s="40" t="n">
        <v>44999</v>
      </c>
      <c r="BA161" s="10" t="s">
        <v>107</v>
      </c>
      <c r="BB161" s="36" t="n">
        <f aca="false">45.52/500</f>
        <v>0.09104</v>
      </c>
      <c r="BC161" s="38" t="s">
        <v>1287</v>
      </c>
      <c r="BD161" s="33" t="s">
        <v>506</v>
      </c>
      <c r="BE161" s="33" t="s">
        <v>1207</v>
      </c>
      <c r="BF161" s="40" t="n">
        <v>44999</v>
      </c>
      <c r="BG161" s="11" t="s">
        <v>91</v>
      </c>
      <c r="BH161" s="36" t="n">
        <f aca="false">46.8/500</f>
        <v>0.0936</v>
      </c>
      <c r="BI161" s="38" t="s">
        <v>1288</v>
      </c>
      <c r="BJ161" s="33" t="s">
        <v>93</v>
      </c>
      <c r="BK161" s="33" t="s">
        <v>731</v>
      </c>
      <c r="BL161" s="40" t="n">
        <v>44999</v>
      </c>
    </row>
    <row r="162" customFormat="false" ht="462.75" hidden="false" customHeight="false" outlineLevel="0" collapsed="false">
      <c r="A162" s="12" t="s">
        <v>34</v>
      </c>
      <c r="B162" s="12" t="s">
        <v>1289</v>
      </c>
      <c r="C162" s="13" t="s">
        <v>1290</v>
      </c>
      <c r="D162" s="14" t="s">
        <v>65</v>
      </c>
      <c r="E162" s="14" t="s">
        <v>66</v>
      </c>
      <c r="F162" s="14" t="n">
        <v>250</v>
      </c>
      <c r="G162" s="14" t="n">
        <v>250</v>
      </c>
      <c r="H162" s="15" t="n">
        <v>1.05</v>
      </c>
      <c r="I162" s="15" t="n">
        <v>262.5</v>
      </c>
      <c r="J162" s="16" t="s">
        <v>1291</v>
      </c>
      <c r="K162" s="45" t="n">
        <v>161</v>
      </c>
      <c r="L162" s="17" t="s">
        <v>68</v>
      </c>
      <c r="M162" s="17" t="n">
        <v>21000000335</v>
      </c>
      <c r="N162" s="18" t="s">
        <v>1292</v>
      </c>
      <c r="O162" s="17" t="s">
        <v>70</v>
      </c>
      <c r="P162" s="17" t="n">
        <f aca="false">SUM(R162:AP162)</f>
        <v>250</v>
      </c>
      <c r="Q162" s="17" t="s">
        <v>71</v>
      </c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 t="n">
        <v>250</v>
      </c>
      <c r="AJ162" s="17"/>
      <c r="AK162" s="17"/>
      <c r="AL162" s="17"/>
      <c r="AM162" s="17"/>
      <c r="AN162" s="17"/>
      <c r="AO162" s="17"/>
      <c r="AP162" s="17"/>
      <c r="AQ162" s="19" t="s">
        <v>1292</v>
      </c>
      <c r="AR162" s="17" t="s">
        <v>294</v>
      </c>
      <c r="AS162" s="20" t="n">
        <f aca="false">AVERAGE(AV162,BB162,BH162)</f>
        <v>0.47874</v>
      </c>
      <c r="AT162" s="21" t="n">
        <f aca="false">(AS162*1.3)</f>
        <v>0.622362</v>
      </c>
      <c r="AU162" s="7" t="s">
        <v>128</v>
      </c>
      <c r="AV162" s="20" t="n">
        <f aca="false">62.13 /100</f>
        <v>0.6213</v>
      </c>
      <c r="AW162" s="23" t="s">
        <v>1293</v>
      </c>
      <c r="AX162" s="17" t="s">
        <v>179</v>
      </c>
      <c r="AY162" s="17" t="s">
        <v>1209</v>
      </c>
      <c r="AZ162" s="25" t="n">
        <v>44999</v>
      </c>
      <c r="BA162" s="10" t="s">
        <v>128</v>
      </c>
      <c r="BB162" s="20" t="n">
        <f aca="false">288.88/500</f>
        <v>0.57776</v>
      </c>
      <c r="BC162" s="23" t="s">
        <v>1294</v>
      </c>
      <c r="BD162" s="17" t="s">
        <v>179</v>
      </c>
      <c r="BE162" s="17" t="s">
        <v>1226</v>
      </c>
      <c r="BF162" s="25" t="n">
        <v>44999</v>
      </c>
      <c r="BG162" s="11" t="s">
        <v>107</v>
      </c>
      <c r="BH162" s="20" t="n">
        <f aca="false">118.58/500</f>
        <v>0.23716</v>
      </c>
      <c r="BI162" s="23" t="s">
        <v>1295</v>
      </c>
      <c r="BJ162" s="17" t="s">
        <v>506</v>
      </c>
      <c r="BK162" s="17" t="s">
        <v>1207</v>
      </c>
      <c r="BL162" s="25" t="n">
        <v>44999</v>
      </c>
    </row>
    <row r="163" customFormat="false" ht="462.75" hidden="false" customHeight="false" outlineLevel="0" collapsed="false">
      <c r="A163" s="28" t="s">
        <v>34</v>
      </c>
      <c r="B163" s="28" t="s">
        <v>1296</v>
      </c>
      <c r="C163" s="29" t="s">
        <v>1297</v>
      </c>
      <c r="D163" s="30" t="s">
        <v>65</v>
      </c>
      <c r="E163" s="30" t="s">
        <v>66</v>
      </c>
      <c r="F163" s="30" t="n">
        <v>2</v>
      </c>
      <c r="G163" s="30" t="n">
        <v>2</v>
      </c>
      <c r="H163" s="31" t="n">
        <v>93.75</v>
      </c>
      <c r="I163" s="31" t="n">
        <v>187.5</v>
      </c>
      <c r="J163" s="32" t="s">
        <v>1298</v>
      </c>
      <c r="K163" s="49" t="n">
        <v>162</v>
      </c>
      <c r="L163" s="33" t="s">
        <v>68</v>
      </c>
      <c r="M163" s="33" t="n">
        <v>21000000167</v>
      </c>
      <c r="N163" s="34" t="s">
        <v>1299</v>
      </c>
      <c r="O163" s="33" t="s">
        <v>70</v>
      </c>
      <c r="P163" s="33" t="n">
        <f aca="false">SUM(R163:AP163)</f>
        <v>2</v>
      </c>
      <c r="Q163" s="33" t="s">
        <v>71</v>
      </c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0" t="n">
        <v>2</v>
      </c>
      <c r="AJ163" s="33"/>
      <c r="AK163" s="33"/>
      <c r="AL163" s="33"/>
      <c r="AM163" s="33"/>
      <c r="AN163" s="33"/>
      <c r="AO163" s="33"/>
      <c r="AP163" s="33"/>
      <c r="AQ163" s="35" t="s">
        <v>1299</v>
      </c>
      <c r="AR163" s="33" t="s">
        <v>294</v>
      </c>
      <c r="AS163" s="36" t="n">
        <f aca="false">AVERAGE(AV163,BB163,BH163)</f>
        <v>0.182733333333333</v>
      </c>
      <c r="AT163" s="21" t="n">
        <f aca="false">(AS163*1.3)</f>
        <v>0.237553333333333</v>
      </c>
      <c r="AU163" s="48" t="s">
        <v>555</v>
      </c>
      <c r="AV163" s="36" t="n">
        <f aca="false">101.25/500</f>
        <v>0.2025</v>
      </c>
      <c r="AW163" s="38" t="s">
        <v>1300</v>
      </c>
      <c r="AX163" s="49" t="s">
        <v>503</v>
      </c>
      <c r="AY163" s="33" t="s">
        <v>731</v>
      </c>
      <c r="AZ163" s="40" t="n">
        <v>44999</v>
      </c>
      <c r="BA163" s="10" t="s">
        <v>107</v>
      </c>
      <c r="BB163" s="36" t="n">
        <f aca="false">83.09/500</f>
        <v>0.16618</v>
      </c>
      <c r="BC163" s="38" t="s">
        <v>1301</v>
      </c>
      <c r="BD163" s="33" t="s">
        <v>506</v>
      </c>
      <c r="BE163" s="33" t="s">
        <v>1207</v>
      </c>
      <c r="BF163" s="40" t="n">
        <v>44999</v>
      </c>
      <c r="BG163" s="11" t="s">
        <v>128</v>
      </c>
      <c r="BH163" s="36" t="n">
        <f aca="false">89.76/500</f>
        <v>0.17952</v>
      </c>
      <c r="BI163" s="38" t="s">
        <v>1302</v>
      </c>
      <c r="BJ163" s="33" t="s">
        <v>179</v>
      </c>
      <c r="BK163" s="33" t="s">
        <v>1226</v>
      </c>
      <c r="BL163" s="40" t="n">
        <v>44999</v>
      </c>
    </row>
    <row r="164" customFormat="false" ht="417.75" hidden="false" customHeight="false" outlineLevel="0" collapsed="false">
      <c r="A164" s="12" t="s">
        <v>26</v>
      </c>
      <c r="B164" s="12" t="s">
        <v>1303</v>
      </c>
      <c r="C164" s="13" t="s">
        <v>1304</v>
      </c>
      <c r="D164" s="14" t="s">
        <v>65</v>
      </c>
      <c r="E164" s="14" t="s">
        <v>66</v>
      </c>
      <c r="F164" s="14" t="n">
        <v>1</v>
      </c>
      <c r="G164" s="14" t="n">
        <v>500</v>
      </c>
      <c r="H164" s="15" t="n">
        <v>133.33</v>
      </c>
      <c r="I164" s="15" t="n">
        <v>133.33</v>
      </c>
      <c r="J164" s="16" t="s">
        <v>1305</v>
      </c>
      <c r="K164" s="45" t="n">
        <v>163</v>
      </c>
      <c r="L164" s="17" t="s">
        <v>68</v>
      </c>
      <c r="M164" s="17" t="n">
        <v>21000000169</v>
      </c>
      <c r="N164" s="18" t="s">
        <v>1306</v>
      </c>
      <c r="O164" s="17" t="s">
        <v>70</v>
      </c>
      <c r="P164" s="17" t="n">
        <f aca="false">SUM(R164:AP164)</f>
        <v>1000</v>
      </c>
      <c r="Q164" s="17" t="s">
        <v>71</v>
      </c>
      <c r="R164" s="17"/>
      <c r="S164" s="17"/>
      <c r="T164" s="17"/>
      <c r="U164" s="17"/>
      <c r="V164" s="17"/>
      <c r="W164" s="17"/>
      <c r="X164" s="17"/>
      <c r="Y164" s="17"/>
      <c r="Z164" s="17"/>
      <c r="AA164" s="17" t="n">
        <v>500</v>
      </c>
      <c r="AB164" s="17"/>
      <c r="AC164" s="17"/>
      <c r="AD164" s="17"/>
      <c r="AE164" s="17"/>
      <c r="AF164" s="17"/>
      <c r="AG164" s="17"/>
      <c r="AH164" s="17"/>
      <c r="AI164" s="17" t="n">
        <v>500</v>
      </c>
      <c r="AJ164" s="17"/>
      <c r="AK164" s="17"/>
      <c r="AL164" s="17"/>
      <c r="AM164" s="17"/>
      <c r="AN164" s="17"/>
      <c r="AO164" s="17"/>
      <c r="AP164" s="17"/>
      <c r="AQ164" s="19" t="s">
        <v>1306</v>
      </c>
      <c r="AR164" s="17" t="s">
        <v>294</v>
      </c>
      <c r="AS164" s="17" t="e">
        <f aca="false">AVERAGE(#REF!,AV164,BH164)</f>
        <v>#REF!</v>
      </c>
      <c r="AT164" s="47" t="e">
        <f aca="false">(AS164*1.3)</f>
        <v>#REF!</v>
      </c>
      <c r="AU164" s="7" t="s">
        <v>107</v>
      </c>
      <c r="AV164" s="20" t="n">
        <f aca="false">159.17/500</f>
        <v>0.31834</v>
      </c>
      <c r="AW164" s="23" t="s">
        <v>1307</v>
      </c>
      <c r="AX164" s="17" t="s">
        <v>506</v>
      </c>
      <c r="AY164" s="17" t="s">
        <v>1207</v>
      </c>
      <c r="AZ164" s="25" t="n">
        <v>44999</v>
      </c>
      <c r="BA164" s="85"/>
      <c r="BG164" s="11"/>
      <c r="BH164" s="20"/>
      <c r="BI164" s="17"/>
      <c r="BJ164" s="17"/>
      <c r="BK164" s="17"/>
      <c r="BL164" s="17"/>
    </row>
    <row r="165" customFormat="false" ht="429" hidden="false" customHeight="false" outlineLevel="0" collapsed="false">
      <c r="A165" s="28" t="s">
        <v>18</v>
      </c>
      <c r="B165" s="28" t="s">
        <v>1308</v>
      </c>
      <c r="C165" s="29" t="s">
        <v>1309</v>
      </c>
      <c r="D165" s="30" t="s">
        <v>65</v>
      </c>
      <c r="E165" s="30" t="s">
        <v>66</v>
      </c>
      <c r="F165" s="30" t="n">
        <v>25</v>
      </c>
      <c r="G165" s="30" t="n">
        <v>25</v>
      </c>
      <c r="H165" s="31" t="n">
        <v>11.95</v>
      </c>
      <c r="I165" s="31" t="n">
        <v>298.75</v>
      </c>
      <c r="J165" s="32" t="s">
        <v>1310</v>
      </c>
      <c r="K165" s="49" t="n">
        <v>164</v>
      </c>
      <c r="L165" s="33" t="s">
        <v>68</v>
      </c>
      <c r="M165" s="33" t="n">
        <v>21000000173</v>
      </c>
      <c r="N165" s="34" t="s">
        <v>1311</v>
      </c>
      <c r="O165" s="33" t="s">
        <v>70</v>
      </c>
      <c r="P165" s="33" t="n">
        <f aca="false">SUM(R165:AP165)</f>
        <v>175</v>
      </c>
      <c r="Q165" s="33" t="s">
        <v>71</v>
      </c>
      <c r="R165" s="33"/>
      <c r="S165" s="33" t="n">
        <v>25</v>
      </c>
      <c r="T165" s="33"/>
      <c r="U165" s="33"/>
      <c r="V165" s="33"/>
      <c r="W165" s="33" t="n">
        <v>100</v>
      </c>
      <c r="X165" s="33"/>
      <c r="Y165" s="33"/>
      <c r="Z165" s="33"/>
      <c r="AA165" s="33"/>
      <c r="AB165" s="33"/>
      <c r="AC165" s="33"/>
      <c r="AD165" s="33"/>
      <c r="AE165" s="33"/>
      <c r="AF165" s="33"/>
      <c r="AG165" s="30"/>
      <c r="AH165" s="33"/>
      <c r="AI165" s="33" t="n">
        <v>50</v>
      </c>
      <c r="AJ165" s="33"/>
      <c r="AK165" s="33"/>
      <c r="AL165" s="33"/>
      <c r="AM165" s="33"/>
      <c r="AN165" s="33"/>
      <c r="AO165" s="33"/>
      <c r="AP165" s="33"/>
      <c r="AQ165" s="35" t="s">
        <v>1311</v>
      </c>
      <c r="AR165" s="33" t="s">
        <v>294</v>
      </c>
      <c r="AS165" s="36" t="n">
        <f aca="false">AVERAGE(AV165,BB165,BH165)</f>
        <v>11.8394</v>
      </c>
      <c r="AT165" s="21" t="n">
        <f aca="false">(AS165*1.3)</f>
        <v>15.39122</v>
      </c>
      <c r="AU165" s="48" t="s">
        <v>125</v>
      </c>
      <c r="AV165" s="36" t="n">
        <f aca="false">499.13 /50</f>
        <v>9.9826</v>
      </c>
      <c r="AW165" s="38" t="s">
        <v>1312</v>
      </c>
      <c r="AX165" s="49" t="s">
        <v>127</v>
      </c>
      <c r="AY165" s="33" t="s">
        <v>1313</v>
      </c>
      <c r="AZ165" s="40" t="n">
        <v>44999</v>
      </c>
      <c r="BA165" s="10" t="s">
        <v>128</v>
      </c>
      <c r="BB165" s="36" t="n">
        <f aca="false">298.12/25</f>
        <v>11.9248</v>
      </c>
      <c r="BC165" s="38" t="s">
        <v>1314</v>
      </c>
      <c r="BD165" s="33" t="s">
        <v>179</v>
      </c>
      <c r="BE165" s="33" t="s">
        <v>1209</v>
      </c>
      <c r="BF165" s="40" t="n">
        <v>44999</v>
      </c>
      <c r="BG165" s="56" t="s">
        <v>104</v>
      </c>
      <c r="BH165" s="36" t="n">
        <f aca="false">340.27/25</f>
        <v>13.6108</v>
      </c>
      <c r="BI165" s="38" t="s">
        <v>1315</v>
      </c>
      <c r="BJ165" s="49" t="s">
        <v>420</v>
      </c>
      <c r="BK165" s="33" t="s">
        <v>1226</v>
      </c>
      <c r="BL165" s="40" t="n">
        <v>44999</v>
      </c>
    </row>
    <row r="166" customFormat="false" ht="429" hidden="false" customHeight="false" outlineLevel="0" collapsed="false">
      <c r="A166" s="12" t="s">
        <v>25</v>
      </c>
      <c r="B166" s="12" t="s">
        <v>1316</v>
      </c>
      <c r="C166" s="13" t="s">
        <v>1317</v>
      </c>
      <c r="D166" s="14" t="s">
        <v>65</v>
      </c>
      <c r="E166" s="14" t="s">
        <v>66</v>
      </c>
      <c r="F166" s="14" t="n">
        <v>2000</v>
      </c>
      <c r="G166" s="14" t="n">
        <v>2000</v>
      </c>
      <c r="H166" s="15" t="n">
        <v>0.05</v>
      </c>
      <c r="I166" s="15" t="n">
        <v>100</v>
      </c>
      <c r="J166" s="16" t="s">
        <v>1318</v>
      </c>
      <c r="K166" s="45" t="n">
        <v>165</v>
      </c>
      <c r="L166" s="17" t="s">
        <v>68</v>
      </c>
      <c r="M166" s="17" t="n">
        <v>21000000176</v>
      </c>
      <c r="N166" s="18" t="s">
        <v>1319</v>
      </c>
      <c r="O166" s="17" t="s">
        <v>70</v>
      </c>
      <c r="P166" s="17" t="n">
        <f aca="false">SUM(R166:AP166)</f>
        <v>2500</v>
      </c>
      <c r="Q166" s="17" t="s">
        <v>71</v>
      </c>
      <c r="R166" s="17"/>
      <c r="S166" s="17"/>
      <c r="T166" s="17"/>
      <c r="U166" s="17"/>
      <c r="V166" s="17"/>
      <c r="W166" s="17"/>
      <c r="X166" s="17"/>
      <c r="Y166" s="17"/>
      <c r="Z166" s="17" t="n">
        <v>2000</v>
      </c>
      <c r="AA166" s="17"/>
      <c r="AB166" s="17"/>
      <c r="AC166" s="17"/>
      <c r="AD166" s="17"/>
      <c r="AE166" s="17"/>
      <c r="AF166" s="17"/>
      <c r="AG166" s="17"/>
      <c r="AH166" s="17"/>
      <c r="AI166" s="17" t="n">
        <v>500</v>
      </c>
      <c r="AJ166" s="17"/>
      <c r="AK166" s="17"/>
      <c r="AL166" s="17"/>
      <c r="AM166" s="17"/>
      <c r="AN166" s="17"/>
      <c r="AO166" s="17"/>
      <c r="AP166" s="17"/>
      <c r="AQ166" s="19" t="s">
        <v>1319</v>
      </c>
      <c r="AR166" s="17" t="s">
        <v>294</v>
      </c>
      <c r="AS166" s="20" t="n">
        <f aca="false">AVERAGE(AV166,BB166,BH166)</f>
        <v>0.0736466666666667</v>
      </c>
      <c r="AT166" s="21" t="n">
        <f aca="false">(AS166*1.3)</f>
        <v>0.0957406666666667</v>
      </c>
      <c r="AU166" s="7" t="s">
        <v>128</v>
      </c>
      <c r="AV166" s="20" t="n">
        <f aca="false">39.09/500</f>
        <v>0.07818</v>
      </c>
      <c r="AW166" s="23" t="s">
        <v>1320</v>
      </c>
      <c r="AX166" s="17" t="s">
        <v>179</v>
      </c>
      <c r="AY166" s="17" t="s">
        <v>1209</v>
      </c>
      <c r="AZ166" s="25" t="n">
        <v>44999</v>
      </c>
      <c r="BA166" s="10" t="s">
        <v>107</v>
      </c>
      <c r="BB166" s="20" t="n">
        <f aca="false">31.78/500</f>
        <v>0.06356</v>
      </c>
      <c r="BC166" s="23" t="s">
        <v>1321</v>
      </c>
      <c r="BD166" s="17" t="s">
        <v>506</v>
      </c>
      <c r="BE166" s="17" t="s">
        <v>1207</v>
      </c>
      <c r="BF166" s="25" t="n">
        <v>44999</v>
      </c>
      <c r="BG166" s="56" t="s">
        <v>555</v>
      </c>
      <c r="BH166" s="20" t="n">
        <f aca="false">39.6/500</f>
        <v>0.0792</v>
      </c>
      <c r="BI166" s="23" t="s">
        <v>1322</v>
      </c>
      <c r="BJ166" s="45" t="s">
        <v>503</v>
      </c>
      <c r="BK166" s="17" t="s">
        <v>289</v>
      </c>
      <c r="BL166" s="25" t="n">
        <v>44999</v>
      </c>
    </row>
    <row r="167" customFormat="false" ht="462.75" hidden="false" customHeight="false" outlineLevel="0" collapsed="false">
      <c r="A167" s="28" t="s">
        <v>26</v>
      </c>
      <c r="B167" s="28" t="s">
        <v>1323</v>
      </c>
      <c r="C167" s="29" t="s">
        <v>1324</v>
      </c>
      <c r="D167" s="30" t="s">
        <v>65</v>
      </c>
      <c r="E167" s="30" t="s">
        <v>66</v>
      </c>
      <c r="F167" s="30" t="n">
        <v>1</v>
      </c>
      <c r="G167" s="30" t="n">
        <v>500</v>
      </c>
      <c r="H167" s="31" t="n">
        <v>90</v>
      </c>
      <c r="I167" s="31" t="n">
        <v>90</v>
      </c>
      <c r="J167" s="32" t="s">
        <v>1325</v>
      </c>
      <c r="K167" s="49" t="n">
        <v>166</v>
      </c>
      <c r="L167" s="33" t="s">
        <v>68</v>
      </c>
      <c r="M167" s="33" t="n">
        <v>21000000179</v>
      </c>
      <c r="N167" s="34" t="s">
        <v>1326</v>
      </c>
      <c r="O167" s="33" t="s">
        <v>70</v>
      </c>
      <c r="P167" s="33" t="n">
        <f aca="false">SUM(R167:AP167)</f>
        <v>500</v>
      </c>
      <c r="Q167" s="33" t="s">
        <v>71</v>
      </c>
      <c r="R167" s="33"/>
      <c r="S167" s="33"/>
      <c r="T167" s="33"/>
      <c r="U167" s="33"/>
      <c r="V167" s="33"/>
      <c r="W167" s="33"/>
      <c r="X167" s="33"/>
      <c r="Y167" s="33"/>
      <c r="Z167" s="33"/>
      <c r="AA167" s="33" t="n">
        <v>500</v>
      </c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5" t="s">
        <v>1326</v>
      </c>
      <c r="AR167" s="33" t="s">
        <v>155</v>
      </c>
      <c r="AS167" s="36" t="n">
        <f aca="false">AVERAGE(AV167,BB167,BH167)</f>
        <v>0.126633333333333</v>
      </c>
      <c r="AT167" s="21" t="n">
        <f aca="false">(AS167*1.3)</f>
        <v>0.164623333333333</v>
      </c>
      <c r="AU167" s="48" t="s">
        <v>128</v>
      </c>
      <c r="AV167" s="36" t="n">
        <f aca="false">59.26 /500</f>
        <v>0.11852</v>
      </c>
      <c r="AW167" s="38" t="s">
        <v>1327</v>
      </c>
      <c r="AX167" s="49" t="s">
        <v>130</v>
      </c>
      <c r="AY167" s="33" t="s">
        <v>131</v>
      </c>
      <c r="AZ167" s="40" t="n">
        <v>44999</v>
      </c>
      <c r="BA167" s="10" t="s">
        <v>107</v>
      </c>
      <c r="BB167" s="36" t="n">
        <f aca="false">64.03/500</f>
        <v>0.12806</v>
      </c>
      <c r="BC167" s="38" t="s">
        <v>1328</v>
      </c>
      <c r="BD167" s="33" t="s">
        <v>506</v>
      </c>
      <c r="BE167" s="33" t="s">
        <v>110</v>
      </c>
      <c r="BF167" s="40" t="n">
        <v>44999</v>
      </c>
      <c r="BG167" s="56" t="s">
        <v>157</v>
      </c>
      <c r="BH167" s="36" t="n">
        <f aca="false">66.66/500</f>
        <v>0.13332</v>
      </c>
      <c r="BI167" s="32" t="s">
        <v>1329</v>
      </c>
      <c r="BJ167" s="49" t="s">
        <v>159</v>
      </c>
      <c r="BK167" s="33" t="s">
        <v>98</v>
      </c>
      <c r="BL167" s="40" t="n">
        <v>44999</v>
      </c>
    </row>
    <row r="168" customFormat="false" ht="80.25" hidden="false" customHeight="false" outlineLevel="0" collapsed="false">
      <c r="A168" s="12" t="s">
        <v>21</v>
      </c>
      <c r="B168" s="12" t="s">
        <v>1330</v>
      </c>
      <c r="C168" s="13" t="s">
        <v>1331</v>
      </c>
      <c r="D168" s="14" t="s">
        <v>65</v>
      </c>
      <c r="E168" s="14" t="s">
        <v>66</v>
      </c>
      <c r="F168" s="14" t="n">
        <v>3</v>
      </c>
      <c r="G168" s="14" t="n">
        <v>3</v>
      </c>
      <c r="H168" s="15" t="n">
        <v>39.91</v>
      </c>
      <c r="I168" s="15" t="n">
        <v>119.73</v>
      </c>
      <c r="J168" s="16" t="s">
        <v>1332</v>
      </c>
      <c r="K168" s="45" t="n">
        <v>167</v>
      </c>
      <c r="L168" s="17" t="s">
        <v>68</v>
      </c>
      <c r="M168" s="17" t="n">
        <v>21000000485</v>
      </c>
      <c r="N168" s="18" t="s">
        <v>1333</v>
      </c>
      <c r="O168" s="17" t="s">
        <v>115</v>
      </c>
      <c r="P168" s="17" t="n">
        <f aca="false">SUM(R168:AP168)</f>
        <v>2</v>
      </c>
      <c r="Q168" s="17" t="s">
        <v>71</v>
      </c>
      <c r="R168" s="17"/>
      <c r="S168" s="17"/>
      <c r="T168" s="17"/>
      <c r="U168" s="17"/>
      <c r="V168" s="17" t="n">
        <v>2</v>
      </c>
      <c r="W168" s="17"/>
      <c r="X168" s="17"/>
      <c r="Y168" s="17"/>
      <c r="Z168" s="17"/>
      <c r="AA168" s="82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9" t="s">
        <v>1334</v>
      </c>
      <c r="AR168" s="17" t="s">
        <v>155</v>
      </c>
      <c r="AS168" s="20" t="n">
        <f aca="false">AVERAGE(AV168,BB168,BH168)</f>
        <v>46.3066666666667</v>
      </c>
      <c r="AT168" s="20" t="n">
        <f aca="false">(AS168*1.3)</f>
        <v>60.1986666666667</v>
      </c>
      <c r="AU168" s="45" t="s">
        <v>1335</v>
      </c>
      <c r="AV168" s="20" t="n">
        <v>45.92</v>
      </c>
      <c r="AW168" s="17"/>
      <c r="AX168" s="83" t="s">
        <v>1336</v>
      </c>
      <c r="AY168" s="17" t="s">
        <v>1337</v>
      </c>
      <c r="AZ168" s="55"/>
      <c r="BA168" s="45" t="s">
        <v>1338</v>
      </c>
      <c r="BB168" s="20" t="n">
        <v>46</v>
      </c>
      <c r="BC168" s="16" t="s">
        <v>1339</v>
      </c>
      <c r="BD168" s="45"/>
      <c r="BE168" s="17" t="s">
        <v>1340</v>
      </c>
      <c r="BF168" s="55"/>
      <c r="BG168" s="45" t="s">
        <v>1341</v>
      </c>
      <c r="BH168" s="20" t="n">
        <v>47</v>
      </c>
      <c r="BI168" s="16" t="s">
        <v>1342</v>
      </c>
      <c r="BJ168" s="45" t="s">
        <v>1343</v>
      </c>
      <c r="BK168" s="17" t="s">
        <v>1344</v>
      </c>
      <c r="BL168" s="55" t="n">
        <v>44999</v>
      </c>
    </row>
    <row r="169" customFormat="false" ht="136.5" hidden="false" customHeight="false" outlineLevel="0" collapsed="false">
      <c r="A169" s="28" t="s">
        <v>20</v>
      </c>
      <c r="B169" s="28" t="s">
        <v>1345</v>
      </c>
      <c r="C169" s="29" t="s">
        <v>1346</v>
      </c>
      <c r="D169" s="30" t="s">
        <v>65</v>
      </c>
      <c r="E169" s="30" t="s">
        <v>66</v>
      </c>
      <c r="F169" s="30" t="n">
        <v>2</v>
      </c>
      <c r="G169" s="30" t="n">
        <v>2</v>
      </c>
      <c r="H169" s="31" t="n">
        <v>18.4</v>
      </c>
      <c r="I169" s="31" t="n">
        <v>36.8</v>
      </c>
      <c r="J169" s="32" t="s">
        <v>1347</v>
      </c>
      <c r="K169" s="49" t="n">
        <v>168</v>
      </c>
      <c r="L169" s="33" t="s">
        <v>68</v>
      </c>
      <c r="M169" s="33" t="n">
        <v>21000000246</v>
      </c>
      <c r="N169" s="34" t="s">
        <v>1348</v>
      </c>
      <c r="O169" s="33" t="s">
        <v>200</v>
      </c>
      <c r="P169" s="33" t="n">
        <f aca="false">SUM(R169:AP169)</f>
        <v>6</v>
      </c>
      <c r="Q169" s="33" t="s">
        <v>71</v>
      </c>
      <c r="R169" s="33"/>
      <c r="S169" s="33"/>
      <c r="T169" s="33"/>
      <c r="U169" s="33" t="n">
        <v>2</v>
      </c>
      <c r="V169" s="33"/>
      <c r="W169" s="33"/>
      <c r="X169" s="33"/>
      <c r="Y169" s="33"/>
      <c r="Z169" s="33"/>
      <c r="AA169" s="73"/>
      <c r="AB169" s="33"/>
      <c r="AC169" s="33"/>
      <c r="AD169" s="33"/>
      <c r="AE169" s="33"/>
      <c r="AF169" s="33"/>
      <c r="AG169" s="33" t="n">
        <v>4</v>
      </c>
      <c r="AH169" s="33"/>
      <c r="AI169" s="33"/>
      <c r="AJ169" s="33"/>
      <c r="AK169" s="33"/>
      <c r="AL169" s="33"/>
      <c r="AM169" s="33"/>
      <c r="AN169" s="33"/>
      <c r="AO169" s="33"/>
      <c r="AP169" s="33"/>
      <c r="AQ169" s="35" t="s">
        <v>1348</v>
      </c>
      <c r="AR169" s="33" t="s">
        <v>155</v>
      </c>
      <c r="AS169" s="36" t="n">
        <f aca="false">AVERAGE(AV169,BB169,BH169)</f>
        <v>27.97</v>
      </c>
      <c r="AT169" s="21" t="n">
        <f aca="false">(AS169*1.3)</f>
        <v>36.361</v>
      </c>
      <c r="AU169" s="48" t="s">
        <v>803</v>
      </c>
      <c r="AV169" s="36" t="n">
        <v>25.1</v>
      </c>
      <c r="AW169" s="32" t="s">
        <v>1349</v>
      </c>
      <c r="AX169" s="49" t="s">
        <v>805</v>
      </c>
      <c r="AY169" s="33" t="s">
        <v>873</v>
      </c>
      <c r="AZ169" s="67" t="n">
        <v>44999</v>
      </c>
      <c r="BA169" s="44" t="s">
        <v>1350</v>
      </c>
      <c r="BB169" s="36" t="n">
        <v>30.71</v>
      </c>
      <c r="BC169" s="32" t="s">
        <v>1351</v>
      </c>
      <c r="BD169" s="45" t="s">
        <v>1352</v>
      </c>
      <c r="BE169" s="33" t="s">
        <v>873</v>
      </c>
      <c r="BF169" s="67" t="n">
        <v>44999</v>
      </c>
      <c r="BG169" s="56" t="s">
        <v>617</v>
      </c>
      <c r="BH169" s="36" t="n">
        <v>28.1</v>
      </c>
      <c r="BI169" s="38" t="s">
        <v>1353</v>
      </c>
      <c r="BJ169" s="49" t="s">
        <v>619</v>
      </c>
      <c r="BK169" s="33" t="s">
        <v>289</v>
      </c>
      <c r="BL169" s="67" t="n">
        <v>44999</v>
      </c>
    </row>
    <row r="170" customFormat="false" ht="80.25" hidden="false" customHeight="false" outlineLevel="0" collapsed="false">
      <c r="A170" s="12" t="s">
        <v>21</v>
      </c>
      <c r="B170" s="12" t="s">
        <v>1354</v>
      </c>
      <c r="C170" s="13" t="s">
        <v>1355</v>
      </c>
      <c r="D170" s="14" t="s">
        <v>65</v>
      </c>
      <c r="E170" s="14" t="s">
        <v>66</v>
      </c>
      <c r="F170" s="14" t="n">
        <v>3</v>
      </c>
      <c r="G170" s="14" t="n">
        <v>3</v>
      </c>
      <c r="H170" s="15" t="n">
        <v>47.45</v>
      </c>
      <c r="I170" s="15" t="n">
        <v>142.35</v>
      </c>
      <c r="J170" s="16" t="s">
        <v>1356</v>
      </c>
      <c r="K170" s="45" t="n">
        <v>169</v>
      </c>
      <c r="L170" s="17" t="s">
        <v>68</v>
      </c>
      <c r="M170" s="17" t="n">
        <v>21000000484</v>
      </c>
      <c r="N170" s="18" t="s">
        <v>1357</v>
      </c>
      <c r="O170" s="17" t="s">
        <v>115</v>
      </c>
      <c r="P170" s="17" t="n">
        <f aca="false">SUM(R170:AP170)</f>
        <v>5</v>
      </c>
      <c r="Q170" s="17" t="s">
        <v>71</v>
      </c>
      <c r="R170" s="17"/>
      <c r="S170" s="17"/>
      <c r="T170" s="17"/>
      <c r="U170" s="17"/>
      <c r="V170" s="17" t="n">
        <v>2</v>
      </c>
      <c r="W170" s="17" t="n">
        <v>3</v>
      </c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4"/>
      <c r="AJ170" s="17"/>
      <c r="AK170" s="17"/>
      <c r="AL170" s="17"/>
      <c r="AM170" s="17"/>
      <c r="AN170" s="17"/>
      <c r="AO170" s="17"/>
      <c r="AP170" s="17"/>
      <c r="AQ170" s="19" t="s">
        <v>1357</v>
      </c>
      <c r="AR170" s="17" t="s">
        <v>155</v>
      </c>
      <c r="AS170" s="20" t="n">
        <f aca="false">AVERAGE(AV170,BB170,BH170)</f>
        <v>36.3833333333333</v>
      </c>
      <c r="AT170" s="20" t="n">
        <f aca="false">(AS170*1.3)</f>
        <v>47.2983333333333</v>
      </c>
      <c r="AU170" s="45" t="s">
        <v>1358</v>
      </c>
      <c r="AV170" s="20" t="n">
        <v>32.3</v>
      </c>
      <c r="AW170" s="16" t="s">
        <v>1359</v>
      </c>
      <c r="AX170" s="45"/>
      <c r="AY170" s="17" t="s">
        <v>1340</v>
      </c>
      <c r="AZ170" s="55"/>
      <c r="BA170" s="45" t="s">
        <v>1360</v>
      </c>
      <c r="BB170" s="20" t="n">
        <v>36</v>
      </c>
      <c r="BC170" s="23" t="s">
        <v>1361</v>
      </c>
      <c r="BD170" s="45" t="s">
        <v>1362</v>
      </c>
      <c r="BE170" s="17" t="s">
        <v>76</v>
      </c>
      <c r="BF170" s="55" t="n">
        <v>44999</v>
      </c>
      <c r="BG170" s="45" t="s">
        <v>1363</v>
      </c>
      <c r="BH170" s="20" t="n">
        <v>40.85</v>
      </c>
      <c r="BI170" s="23" t="s">
        <v>1364</v>
      </c>
      <c r="BJ170" s="45"/>
      <c r="BK170" s="17" t="s">
        <v>1337</v>
      </c>
      <c r="BL170" s="55"/>
    </row>
    <row r="171" customFormat="false" ht="440.25" hidden="false" customHeight="false" outlineLevel="0" collapsed="false">
      <c r="A171" s="28" t="s">
        <v>22</v>
      </c>
      <c r="B171" s="28" t="s">
        <v>1365</v>
      </c>
      <c r="C171" s="29" t="s">
        <v>1366</v>
      </c>
      <c r="D171" s="30" t="s">
        <v>65</v>
      </c>
      <c r="E171" s="30" t="s">
        <v>66</v>
      </c>
      <c r="F171" s="30" t="n">
        <v>500</v>
      </c>
      <c r="G171" s="30" t="n">
        <v>500</v>
      </c>
      <c r="H171" s="31" t="n">
        <v>0.58</v>
      </c>
      <c r="I171" s="31" t="n">
        <v>290</v>
      </c>
      <c r="J171" s="32" t="s">
        <v>1367</v>
      </c>
      <c r="K171" s="49" t="n">
        <v>170</v>
      </c>
      <c r="L171" s="33" t="s">
        <v>68</v>
      </c>
      <c r="M171" s="33" t="n">
        <v>21000000251</v>
      </c>
      <c r="N171" s="34" t="s">
        <v>1368</v>
      </c>
      <c r="O171" s="33" t="s">
        <v>70</v>
      </c>
      <c r="P171" s="33" t="n">
        <f aca="false">SUM(R171:AP171)</f>
        <v>2000</v>
      </c>
      <c r="Q171" s="33" t="s">
        <v>71</v>
      </c>
      <c r="R171" s="33"/>
      <c r="S171" s="33"/>
      <c r="T171" s="33"/>
      <c r="U171" s="33"/>
      <c r="V171" s="33"/>
      <c r="W171" s="33" t="n">
        <v>500</v>
      </c>
      <c r="X171" s="33"/>
      <c r="Y171" s="33"/>
      <c r="Z171" s="33"/>
      <c r="AA171" s="33" t="n">
        <v>1000</v>
      </c>
      <c r="AB171" s="33"/>
      <c r="AC171" s="33"/>
      <c r="AD171" s="33"/>
      <c r="AE171" s="33"/>
      <c r="AF171" s="33"/>
      <c r="AG171" s="33"/>
      <c r="AH171" s="33"/>
      <c r="AI171" s="30" t="n">
        <v>500</v>
      </c>
      <c r="AJ171" s="33"/>
      <c r="AK171" s="33"/>
      <c r="AL171" s="33"/>
      <c r="AM171" s="33"/>
      <c r="AN171" s="33"/>
      <c r="AO171" s="33"/>
      <c r="AP171" s="33"/>
      <c r="AQ171" s="35" t="s">
        <v>1368</v>
      </c>
      <c r="AR171" s="33" t="s">
        <v>155</v>
      </c>
      <c r="AS171" s="36" t="n">
        <f aca="false">AVERAGE(AV171,BB171,BH171)</f>
        <v>0.103353333333333</v>
      </c>
      <c r="AT171" s="21" t="n">
        <f aca="false">(AS171*1.3)</f>
        <v>0.134359333333333</v>
      </c>
      <c r="AU171" s="48" t="s">
        <v>555</v>
      </c>
      <c r="AV171" s="36" t="n">
        <f aca="false">54 /500</f>
        <v>0.108</v>
      </c>
      <c r="AW171" s="38" t="s">
        <v>1369</v>
      </c>
      <c r="AX171" s="49" t="s">
        <v>503</v>
      </c>
      <c r="AY171" s="33" t="s">
        <v>731</v>
      </c>
      <c r="AZ171" s="67" t="n">
        <v>44999</v>
      </c>
      <c r="BA171" s="44" t="s">
        <v>125</v>
      </c>
      <c r="BB171" s="36" t="n">
        <f aca="false">57.13/500</f>
        <v>0.11426</v>
      </c>
      <c r="BC171" s="32" t="s">
        <v>1370</v>
      </c>
      <c r="BD171" s="49" t="s">
        <v>127</v>
      </c>
      <c r="BE171" s="33" t="s">
        <v>110</v>
      </c>
      <c r="BF171" s="67" t="n">
        <v>44999</v>
      </c>
      <c r="BG171" s="56" t="s">
        <v>107</v>
      </c>
      <c r="BH171" s="36" t="n">
        <f aca="false">43.9 /500</f>
        <v>0.0878</v>
      </c>
      <c r="BI171" s="38" t="s">
        <v>1371</v>
      </c>
      <c r="BJ171" s="49" t="s">
        <v>109</v>
      </c>
      <c r="BK171" s="33" t="s">
        <v>110</v>
      </c>
      <c r="BL171" s="67" t="n">
        <v>44999</v>
      </c>
    </row>
    <row r="172" customFormat="false" ht="384" hidden="false" customHeight="false" outlineLevel="0" collapsed="false">
      <c r="A172" s="12" t="s">
        <v>34</v>
      </c>
      <c r="B172" s="12" t="s">
        <v>1372</v>
      </c>
      <c r="C172" s="13" t="n">
        <v>412804</v>
      </c>
      <c r="D172" s="14" t="s">
        <v>65</v>
      </c>
      <c r="E172" s="14" t="s">
        <v>66</v>
      </c>
      <c r="F172" s="14" t="n">
        <v>500</v>
      </c>
      <c r="G172" s="14" t="n">
        <v>500</v>
      </c>
      <c r="H172" s="15" t="n">
        <v>0.03</v>
      </c>
      <c r="I172" s="15" t="n">
        <v>15</v>
      </c>
      <c r="J172" s="16" t="s">
        <v>1373</v>
      </c>
      <c r="K172" s="45" t="n">
        <v>171</v>
      </c>
      <c r="L172" s="17" t="s">
        <v>68</v>
      </c>
      <c r="M172" s="17" t="n">
        <v>21000000562</v>
      </c>
      <c r="N172" s="18" t="s">
        <v>1374</v>
      </c>
      <c r="O172" s="17" t="s">
        <v>70</v>
      </c>
      <c r="P172" s="17" t="n">
        <f aca="false">SUM(R172:AP172)</f>
        <v>500</v>
      </c>
      <c r="Q172" s="17" t="s">
        <v>71</v>
      </c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4" t="n">
        <v>500</v>
      </c>
      <c r="AJ172" s="17"/>
      <c r="AK172" s="17"/>
      <c r="AL172" s="17"/>
      <c r="AM172" s="17"/>
      <c r="AN172" s="17"/>
      <c r="AO172" s="17"/>
      <c r="AP172" s="17"/>
      <c r="AQ172" s="19" t="s">
        <v>1374</v>
      </c>
      <c r="AR172" s="17" t="s">
        <v>155</v>
      </c>
      <c r="AS172" s="20" t="n">
        <f aca="false">AVERAGE(AV172,BB172,BH172)</f>
        <v>0.226953333333333</v>
      </c>
      <c r="AT172" s="21" t="n">
        <f aca="false">(AS172*1.3)</f>
        <v>0.295039333333333</v>
      </c>
      <c r="AU172" s="48" t="s">
        <v>107</v>
      </c>
      <c r="AV172" s="20" t="n">
        <f aca="false">102.22 /500</f>
        <v>0.20444</v>
      </c>
      <c r="AW172" s="16" t="s">
        <v>1375</v>
      </c>
      <c r="AX172" s="45" t="s">
        <v>109</v>
      </c>
      <c r="AY172" s="17" t="s">
        <v>110</v>
      </c>
      <c r="AZ172" s="55" t="n">
        <v>44999</v>
      </c>
      <c r="BA172" s="44" t="s">
        <v>128</v>
      </c>
      <c r="BB172" s="20" t="n">
        <f aca="false">108.61 /500</f>
        <v>0.21722</v>
      </c>
      <c r="BC172" s="23" t="s">
        <v>1376</v>
      </c>
      <c r="BD172" s="45" t="s">
        <v>411</v>
      </c>
      <c r="BE172" s="17" t="s">
        <v>253</v>
      </c>
      <c r="BF172" s="55" t="n">
        <v>44999</v>
      </c>
      <c r="BG172" s="56" t="s">
        <v>555</v>
      </c>
      <c r="BH172" s="20" t="n">
        <f aca="false">129.6/500</f>
        <v>0.2592</v>
      </c>
      <c r="BI172" s="16" t="s">
        <v>1377</v>
      </c>
      <c r="BJ172" s="45" t="s">
        <v>503</v>
      </c>
      <c r="BK172" s="17" t="s">
        <v>289</v>
      </c>
      <c r="BL172" s="55" t="n">
        <v>44999</v>
      </c>
    </row>
    <row r="173" customFormat="false" ht="429" hidden="false" customHeight="false" outlineLevel="0" collapsed="false">
      <c r="A173" s="28" t="s">
        <v>26</v>
      </c>
      <c r="B173" s="28" t="s">
        <v>1378</v>
      </c>
      <c r="C173" s="29" t="s">
        <v>1379</v>
      </c>
      <c r="D173" s="30" t="s">
        <v>65</v>
      </c>
      <c r="E173" s="30" t="s">
        <v>66</v>
      </c>
      <c r="F173" s="30" t="n">
        <v>1</v>
      </c>
      <c r="G173" s="30" t="n">
        <v>500</v>
      </c>
      <c r="H173" s="31" t="n">
        <v>16.7</v>
      </c>
      <c r="I173" s="31" t="n">
        <v>16.7</v>
      </c>
      <c r="J173" s="32" t="s">
        <v>1380</v>
      </c>
      <c r="K173" s="49" t="n">
        <v>172</v>
      </c>
      <c r="L173" s="33" t="s">
        <v>68</v>
      </c>
      <c r="M173" s="33" t="n">
        <v>21000000253</v>
      </c>
      <c r="N173" s="34" t="s">
        <v>1381</v>
      </c>
      <c r="O173" s="33" t="s">
        <v>70</v>
      </c>
      <c r="P173" s="33" t="n">
        <f aca="false">SUM(R173:AP173)</f>
        <v>500</v>
      </c>
      <c r="Q173" s="33" t="s">
        <v>71</v>
      </c>
      <c r="R173" s="33"/>
      <c r="S173" s="33"/>
      <c r="T173" s="33"/>
      <c r="U173" s="33"/>
      <c r="V173" s="33"/>
      <c r="W173" s="33"/>
      <c r="X173" s="33"/>
      <c r="Y173" s="33"/>
      <c r="Z173" s="33"/>
      <c r="AA173" s="33" t="n">
        <v>500</v>
      </c>
      <c r="AB173" s="33"/>
      <c r="AC173" s="33"/>
      <c r="AD173" s="33"/>
      <c r="AE173" s="33"/>
      <c r="AF173" s="33"/>
      <c r="AG173" s="33"/>
      <c r="AH173" s="33"/>
      <c r="AI173" s="30"/>
      <c r="AJ173" s="33"/>
      <c r="AK173" s="33"/>
      <c r="AL173" s="33"/>
      <c r="AM173" s="33"/>
      <c r="AN173" s="33"/>
      <c r="AO173" s="33"/>
      <c r="AP173" s="33"/>
      <c r="AQ173" s="35" t="s">
        <v>1381</v>
      </c>
      <c r="AR173" s="33" t="s">
        <v>155</v>
      </c>
      <c r="AS173" s="36" t="n">
        <f aca="false">AVERAGE(AV173,BB173,BH173)</f>
        <v>0.0330933333333333</v>
      </c>
      <c r="AT173" s="21" t="n">
        <f aca="false">(AS173*1.3)</f>
        <v>0.0430213333333333</v>
      </c>
      <c r="AU173" s="48" t="s">
        <v>128</v>
      </c>
      <c r="AV173" s="36" t="n">
        <f aca="false">14.97 /500</f>
        <v>0.02994</v>
      </c>
      <c r="AW173" s="38" t="s">
        <v>1382</v>
      </c>
      <c r="AX173" s="49" t="s">
        <v>130</v>
      </c>
      <c r="AY173" s="33" t="s">
        <v>131</v>
      </c>
      <c r="AZ173" s="67" t="n">
        <v>44999</v>
      </c>
      <c r="BA173" s="44" t="s">
        <v>157</v>
      </c>
      <c r="BB173" s="36" t="n">
        <f aca="false">16.67/500</f>
        <v>0.03334</v>
      </c>
      <c r="BC173" s="32" t="s">
        <v>1383</v>
      </c>
      <c r="BD173" s="49" t="s">
        <v>159</v>
      </c>
      <c r="BE173" s="33" t="s">
        <v>289</v>
      </c>
      <c r="BF173" s="67" t="n">
        <v>44999</v>
      </c>
      <c r="BG173" s="56" t="s">
        <v>555</v>
      </c>
      <c r="BH173" s="36" t="n">
        <f aca="false">18/500</f>
        <v>0.036</v>
      </c>
      <c r="BI173" s="32" t="s">
        <v>1384</v>
      </c>
      <c r="BJ173" s="49" t="s">
        <v>503</v>
      </c>
      <c r="BK173" s="33" t="s">
        <v>289</v>
      </c>
      <c r="BL173" s="67" t="n">
        <v>44999</v>
      </c>
    </row>
    <row r="174" customFormat="false" ht="305.25" hidden="false" customHeight="false" outlineLevel="0" collapsed="false">
      <c r="A174" s="12" t="s">
        <v>34</v>
      </c>
      <c r="B174" s="12" t="s">
        <v>1385</v>
      </c>
      <c r="C174" s="13" t="s">
        <v>1386</v>
      </c>
      <c r="D174" s="14" t="s">
        <v>65</v>
      </c>
      <c r="E174" s="14" t="s">
        <v>66</v>
      </c>
      <c r="F174" s="14" t="n">
        <v>1000</v>
      </c>
      <c r="G174" s="14" t="n">
        <v>1000</v>
      </c>
      <c r="H174" s="15" t="n">
        <v>0.32</v>
      </c>
      <c r="I174" s="15" t="n">
        <v>320</v>
      </c>
      <c r="J174" s="23" t="s">
        <v>1387</v>
      </c>
      <c r="K174" s="45" t="n">
        <v>173</v>
      </c>
      <c r="L174" s="17" t="s">
        <v>68</v>
      </c>
      <c r="M174" s="17" t="n">
        <v>21000000563</v>
      </c>
      <c r="N174" s="18" t="s">
        <v>1388</v>
      </c>
      <c r="O174" s="17" t="s">
        <v>70</v>
      </c>
      <c r="P174" s="17" t="n">
        <f aca="false">SUM(R174:AP174)</f>
        <v>1000</v>
      </c>
      <c r="Q174" s="17" t="s">
        <v>71</v>
      </c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 t="n">
        <v>1000</v>
      </c>
      <c r="AJ174" s="17"/>
      <c r="AK174" s="17"/>
      <c r="AL174" s="17"/>
      <c r="AM174" s="17"/>
      <c r="AN174" s="17"/>
      <c r="AO174" s="17"/>
      <c r="AP174" s="17"/>
      <c r="AQ174" s="19" t="s">
        <v>1388</v>
      </c>
      <c r="AR174" s="17" t="s">
        <v>155</v>
      </c>
      <c r="AS174" s="20" t="n">
        <f aca="false">AVERAGE(AV174,BB174,BH174)</f>
        <v>0.27148</v>
      </c>
      <c r="AT174" s="21" t="n">
        <f aca="false">(AS174*1.3)</f>
        <v>0.352924</v>
      </c>
      <c r="AU174" s="48" t="s">
        <v>128</v>
      </c>
      <c r="AV174" s="20" t="n">
        <f aca="false">127.73 /500</f>
        <v>0.25546</v>
      </c>
      <c r="AW174" s="16" t="s">
        <v>1389</v>
      </c>
      <c r="AX174" s="45" t="s">
        <v>130</v>
      </c>
      <c r="AY174" s="17" t="s">
        <v>131</v>
      </c>
      <c r="AZ174" s="55" t="n">
        <v>44999</v>
      </c>
      <c r="BA174" s="44" t="s">
        <v>107</v>
      </c>
      <c r="BB174" s="20" t="n">
        <f aca="false">136.16 /500</f>
        <v>0.27232</v>
      </c>
      <c r="BC174" s="23" t="s">
        <v>1390</v>
      </c>
      <c r="BD174" s="45" t="s">
        <v>109</v>
      </c>
      <c r="BE174" s="17" t="s">
        <v>110</v>
      </c>
      <c r="BF174" s="55" t="n">
        <v>44999</v>
      </c>
      <c r="BG174" s="56" t="s">
        <v>157</v>
      </c>
      <c r="BH174" s="20" t="n">
        <f aca="false">143.33/500</f>
        <v>0.28666</v>
      </c>
      <c r="BI174" s="16" t="s">
        <v>1391</v>
      </c>
      <c r="BJ174" s="45" t="s">
        <v>159</v>
      </c>
      <c r="BK174" s="17" t="s">
        <v>289</v>
      </c>
      <c r="BL174" s="55" t="n">
        <v>44999</v>
      </c>
    </row>
    <row r="175" customFormat="false" ht="372.75" hidden="false" customHeight="false" outlineLevel="0" collapsed="false">
      <c r="A175" s="28" t="s">
        <v>34</v>
      </c>
      <c r="B175" s="28" t="s">
        <v>1392</v>
      </c>
      <c r="C175" s="29" t="s">
        <v>1393</v>
      </c>
      <c r="D175" s="30" t="s">
        <v>65</v>
      </c>
      <c r="E175" s="30" t="s">
        <v>66</v>
      </c>
      <c r="F175" s="30" t="n">
        <v>100</v>
      </c>
      <c r="G175" s="30" t="n">
        <v>100</v>
      </c>
      <c r="H175" s="31" t="n">
        <v>5.11</v>
      </c>
      <c r="I175" s="31" t="n">
        <v>511</v>
      </c>
      <c r="J175" s="32" t="s">
        <v>1394</v>
      </c>
      <c r="K175" s="49" t="n">
        <v>174</v>
      </c>
      <c r="L175" s="33" t="s">
        <v>68</v>
      </c>
      <c r="M175" s="33" t="n">
        <v>21000000361</v>
      </c>
      <c r="N175" s="34" t="s">
        <v>1395</v>
      </c>
      <c r="O175" s="33" t="s">
        <v>70</v>
      </c>
      <c r="P175" s="33" t="n">
        <f aca="false">SUM(R175:AP175)</f>
        <v>100</v>
      </c>
      <c r="Q175" s="33" t="s">
        <v>71</v>
      </c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 t="n">
        <v>100</v>
      </c>
      <c r="AJ175" s="33"/>
      <c r="AK175" s="33"/>
      <c r="AL175" s="33"/>
      <c r="AM175" s="33"/>
      <c r="AN175" s="33"/>
      <c r="AO175" s="33"/>
      <c r="AP175" s="33"/>
      <c r="AQ175" s="35" t="s">
        <v>1395</v>
      </c>
      <c r="AR175" s="33" t="s">
        <v>230</v>
      </c>
      <c r="AS175" s="36" t="n">
        <f aca="false">AVERAGE(AV175,BB175,BH175)</f>
        <v>0.34</v>
      </c>
      <c r="AT175" s="21" t="n">
        <f aca="false">(AS175*1.3)</f>
        <v>0.442</v>
      </c>
      <c r="AU175" s="48" t="s">
        <v>128</v>
      </c>
      <c r="AV175" s="36" t="n">
        <v>0.34</v>
      </c>
      <c r="AW175" s="32" t="s">
        <v>1396</v>
      </c>
      <c r="AX175" s="49" t="s">
        <v>130</v>
      </c>
      <c r="AY175" s="33" t="s">
        <v>253</v>
      </c>
      <c r="AZ175" s="67" t="n">
        <v>45014</v>
      </c>
      <c r="BA175" s="10"/>
      <c r="BB175" s="36"/>
      <c r="BC175" s="33"/>
      <c r="BD175" s="33"/>
      <c r="BE175" s="33"/>
      <c r="BF175" s="33"/>
      <c r="BG175" s="11"/>
      <c r="BH175" s="36"/>
      <c r="BI175" s="33"/>
      <c r="BJ175" s="33"/>
      <c r="BK175" s="33"/>
      <c r="BL175" s="33"/>
    </row>
    <row r="176" customFormat="false" ht="395.25" hidden="false" customHeight="false" outlineLevel="0" collapsed="false">
      <c r="A176" s="12" t="s">
        <v>34</v>
      </c>
      <c r="B176" s="12" t="s">
        <v>1397</v>
      </c>
      <c r="C176" s="13" t="s">
        <v>1398</v>
      </c>
      <c r="D176" s="14" t="s">
        <v>65</v>
      </c>
      <c r="E176" s="14" t="s">
        <v>66</v>
      </c>
      <c r="F176" s="14" t="n">
        <v>100</v>
      </c>
      <c r="G176" s="14" t="n">
        <v>100</v>
      </c>
      <c r="H176" s="15" t="n">
        <v>4.58</v>
      </c>
      <c r="I176" s="15" t="n">
        <v>458</v>
      </c>
      <c r="J176" s="16" t="s">
        <v>1399</v>
      </c>
      <c r="K176" s="45" t="n">
        <v>175</v>
      </c>
      <c r="L176" s="17" t="s">
        <v>68</v>
      </c>
      <c r="M176" s="17" t="n">
        <v>21000000393</v>
      </c>
      <c r="N176" s="18" t="s">
        <v>1400</v>
      </c>
      <c r="O176" s="17" t="s">
        <v>70</v>
      </c>
      <c r="P176" s="17" t="n">
        <f aca="false">SUM(R176:AP176)</f>
        <v>100</v>
      </c>
      <c r="Q176" s="17" t="s">
        <v>71</v>
      </c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 t="n">
        <v>100</v>
      </c>
      <c r="AJ176" s="17"/>
      <c r="AK176" s="17"/>
      <c r="AL176" s="17"/>
      <c r="AM176" s="17"/>
      <c r="AN176" s="17"/>
      <c r="AO176" s="17"/>
      <c r="AP176" s="17"/>
      <c r="AQ176" s="19" t="s">
        <v>1400</v>
      </c>
      <c r="AR176" s="17" t="s">
        <v>155</v>
      </c>
      <c r="AS176" s="20" t="n">
        <f aca="false">AVERAGE(AV176,BB176,BH176)</f>
        <v>0.9111</v>
      </c>
      <c r="AT176" s="21" t="n">
        <f aca="false">(AS176*1.3)</f>
        <v>1.18443</v>
      </c>
      <c r="AU176" s="48" t="s">
        <v>287</v>
      </c>
      <c r="AV176" s="20" t="n">
        <f aca="false">100/100</f>
        <v>1</v>
      </c>
      <c r="AW176" s="16" t="s">
        <v>1401</v>
      </c>
      <c r="AX176" s="45" t="s">
        <v>134</v>
      </c>
      <c r="AY176" s="17" t="s">
        <v>289</v>
      </c>
      <c r="AZ176" s="55" t="n">
        <v>44999</v>
      </c>
      <c r="BA176" s="44" t="s">
        <v>555</v>
      </c>
      <c r="BB176" s="20" t="n">
        <f aca="false">90/100</f>
        <v>0.9</v>
      </c>
      <c r="BC176" s="16" t="s">
        <v>1402</v>
      </c>
      <c r="BD176" s="45" t="s">
        <v>503</v>
      </c>
      <c r="BE176" s="17" t="s">
        <v>289</v>
      </c>
      <c r="BF176" s="55" t="n">
        <v>44999</v>
      </c>
      <c r="BG176" s="56" t="s">
        <v>157</v>
      </c>
      <c r="BH176" s="20" t="n">
        <f aca="false">83.33/100</f>
        <v>0.8333</v>
      </c>
      <c r="BI176" s="23" t="s">
        <v>1403</v>
      </c>
      <c r="BJ176" s="45" t="s">
        <v>159</v>
      </c>
      <c r="BK176" s="17" t="s">
        <v>289</v>
      </c>
      <c r="BL176" s="55" t="n">
        <v>44999</v>
      </c>
    </row>
    <row r="177" customFormat="false" ht="429" hidden="false" customHeight="false" outlineLevel="0" collapsed="false">
      <c r="A177" s="28" t="s">
        <v>34</v>
      </c>
      <c r="B177" s="28" t="s">
        <v>1404</v>
      </c>
      <c r="C177" s="29" t="s">
        <v>1405</v>
      </c>
      <c r="D177" s="30" t="s">
        <v>65</v>
      </c>
      <c r="E177" s="30" t="s">
        <v>66</v>
      </c>
      <c r="F177" s="30" t="n">
        <v>1</v>
      </c>
      <c r="G177" s="30" t="n">
        <v>500</v>
      </c>
      <c r="H177" s="31" t="n">
        <v>70.45</v>
      </c>
      <c r="I177" s="31" t="n">
        <v>70.45</v>
      </c>
      <c r="J177" s="32" t="s">
        <v>1406</v>
      </c>
      <c r="K177" s="49" t="n">
        <v>176</v>
      </c>
      <c r="L177" s="33" t="s">
        <v>68</v>
      </c>
      <c r="M177" s="33" t="n">
        <v>21000000564</v>
      </c>
      <c r="N177" s="34" t="s">
        <v>1407</v>
      </c>
      <c r="O177" s="33" t="s">
        <v>70</v>
      </c>
      <c r="P177" s="33" t="n">
        <f aca="false">SUM(R177:AP177)</f>
        <v>500</v>
      </c>
      <c r="Q177" s="33" t="s">
        <v>71</v>
      </c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 t="n">
        <v>500</v>
      </c>
      <c r="AJ177" s="33"/>
      <c r="AK177" s="30"/>
      <c r="AL177" s="33"/>
      <c r="AM177" s="33"/>
      <c r="AN177" s="33"/>
      <c r="AO177" s="33"/>
      <c r="AP177" s="33"/>
      <c r="AQ177" s="35" t="s">
        <v>1407</v>
      </c>
      <c r="AR177" s="33" t="s">
        <v>155</v>
      </c>
      <c r="AS177" s="36" t="n">
        <f aca="false">AVERAGE(AV177,BB177,BH177)</f>
        <v>0.25984</v>
      </c>
      <c r="AT177" s="21" t="n">
        <f aca="false">(AS177*1.3)</f>
        <v>0.337792</v>
      </c>
      <c r="AU177" s="48" t="s">
        <v>128</v>
      </c>
      <c r="AV177" s="36" t="n">
        <f aca="false">143.63/500</f>
        <v>0.28726</v>
      </c>
      <c r="AW177" s="32" t="s">
        <v>1396</v>
      </c>
      <c r="AX177" s="49" t="s">
        <v>130</v>
      </c>
      <c r="AY177" s="33" t="s">
        <v>253</v>
      </c>
      <c r="AZ177" s="67" t="n">
        <v>45000</v>
      </c>
      <c r="BA177" s="44" t="s">
        <v>107</v>
      </c>
      <c r="BB177" s="36" t="n">
        <f aca="false">126.22 /500</f>
        <v>0.25244</v>
      </c>
      <c r="BC177" s="38" t="s">
        <v>1408</v>
      </c>
      <c r="BD177" s="49" t="s">
        <v>109</v>
      </c>
      <c r="BE177" s="33" t="s">
        <v>253</v>
      </c>
      <c r="BF177" s="67" t="n">
        <v>45000</v>
      </c>
      <c r="BG177" s="56" t="s">
        <v>104</v>
      </c>
      <c r="BH177" s="36" t="n">
        <f aca="false">119.91/500</f>
        <v>0.23982</v>
      </c>
      <c r="BI177" s="32" t="s">
        <v>1409</v>
      </c>
      <c r="BJ177" s="49" t="s">
        <v>420</v>
      </c>
      <c r="BK177" s="33" t="s">
        <v>253</v>
      </c>
      <c r="BL177" s="67" t="n">
        <v>45000</v>
      </c>
    </row>
    <row r="178" customFormat="false" ht="237.75" hidden="false" customHeight="false" outlineLevel="0" collapsed="false">
      <c r="A178" s="12" t="s">
        <v>22</v>
      </c>
      <c r="B178" s="12" t="s">
        <v>1410</v>
      </c>
      <c r="C178" s="13" t="s">
        <v>1411</v>
      </c>
      <c r="D178" s="14" t="s">
        <v>65</v>
      </c>
      <c r="E178" s="14" t="s">
        <v>66</v>
      </c>
      <c r="F178" s="14" t="n">
        <v>1</v>
      </c>
      <c r="G178" s="14" t="n">
        <v>1</v>
      </c>
      <c r="H178" s="15" t="n">
        <v>138.65</v>
      </c>
      <c r="I178" s="15" t="n">
        <v>138.65</v>
      </c>
      <c r="J178" s="16" t="s">
        <v>1412</v>
      </c>
      <c r="K178" s="45" t="n">
        <v>177</v>
      </c>
      <c r="L178" s="17" t="s">
        <v>68</v>
      </c>
      <c r="M178" s="17" t="n">
        <v>21000000553</v>
      </c>
      <c r="N178" s="18" t="s">
        <v>1413</v>
      </c>
      <c r="O178" s="17" t="s">
        <v>200</v>
      </c>
      <c r="P178" s="17" t="n">
        <f aca="false">SUM(R178:AP178)</f>
        <v>1</v>
      </c>
      <c r="Q178" s="17" t="s">
        <v>71</v>
      </c>
      <c r="R178" s="17"/>
      <c r="S178" s="17"/>
      <c r="T178" s="17"/>
      <c r="U178" s="17"/>
      <c r="V178" s="17"/>
      <c r="W178" s="17" t="n">
        <v>1</v>
      </c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9" t="s">
        <v>1413</v>
      </c>
      <c r="AR178" s="17"/>
      <c r="AS178" s="20" t="e">
        <f aca="false">AVERAGE(AV178,BB178,BH178)</f>
        <v>#DIV/0!</v>
      </c>
      <c r="AT178" s="47" t="e">
        <f aca="false">(AS178*1.3)</f>
        <v>#DIV/0!</v>
      </c>
      <c r="AU178" s="7"/>
      <c r="AV178" s="20"/>
      <c r="AW178" s="17"/>
      <c r="AX178" s="17"/>
      <c r="AY178" s="17"/>
      <c r="AZ178" s="17"/>
      <c r="BA178" s="10"/>
      <c r="BB178" s="20"/>
      <c r="BC178" s="17"/>
      <c r="BD178" s="17"/>
      <c r="BE178" s="17"/>
      <c r="BF178" s="17"/>
      <c r="BG178" s="11"/>
      <c r="BH178" s="20"/>
      <c r="BI178" s="17"/>
      <c r="BJ178" s="17"/>
      <c r="BK178" s="17"/>
      <c r="BL178" s="17"/>
    </row>
    <row r="179" customFormat="false" ht="237.75" hidden="false" customHeight="false" outlineLevel="0" collapsed="false">
      <c r="A179" s="28" t="s">
        <v>22</v>
      </c>
      <c r="B179" s="28" t="s">
        <v>1414</v>
      </c>
      <c r="C179" s="29" t="s">
        <v>1415</v>
      </c>
      <c r="D179" s="30" t="s">
        <v>65</v>
      </c>
      <c r="E179" s="30" t="s">
        <v>66</v>
      </c>
      <c r="F179" s="30" t="n">
        <v>1</v>
      </c>
      <c r="G179" s="30" t="n">
        <v>1</v>
      </c>
      <c r="H179" s="31" t="n">
        <v>138.65</v>
      </c>
      <c r="I179" s="31" t="n">
        <v>138.65</v>
      </c>
      <c r="J179" s="32" t="s">
        <v>1416</v>
      </c>
      <c r="K179" s="49" t="n">
        <v>178</v>
      </c>
      <c r="L179" s="33" t="s">
        <v>68</v>
      </c>
      <c r="M179" s="33" t="n">
        <v>21000000552</v>
      </c>
      <c r="N179" s="34" t="s">
        <v>1417</v>
      </c>
      <c r="O179" s="33" t="s">
        <v>200</v>
      </c>
      <c r="P179" s="33" t="n">
        <f aca="false">SUM(R179:AP179)</f>
        <v>1</v>
      </c>
      <c r="Q179" s="33" t="s">
        <v>71</v>
      </c>
      <c r="R179" s="33"/>
      <c r="S179" s="33"/>
      <c r="T179" s="33"/>
      <c r="U179" s="33"/>
      <c r="V179" s="33"/>
      <c r="W179" s="33" t="n">
        <v>1</v>
      </c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0"/>
      <c r="AL179" s="33"/>
      <c r="AM179" s="33"/>
      <c r="AN179" s="33"/>
      <c r="AO179" s="33"/>
      <c r="AP179" s="33"/>
      <c r="AQ179" s="35" t="s">
        <v>1417</v>
      </c>
      <c r="AR179" s="33"/>
      <c r="AS179" s="36" t="e">
        <f aca="false">AVERAGE(AV179,BB179,BH179)</f>
        <v>#DIV/0!</v>
      </c>
      <c r="AT179" s="47" t="e">
        <f aca="false">(AS179*1.3)</f>
        <v>#DIV/0!</v>
      </c>
      <c r="AU179" s="7"/>
      <c r="AV179" s="36"/>
      <c r="AW179" s="33"/>
      <c r="AX179" s="33"/>
      <c r="AY179" s="33"/>
      <c r="AZ179" s="33"/>
      <c r="BA179" s="10"/>
      <c r="BB179" s="36"/>
      <c r="BC179" s="33"/>
      <c r="BD179" s="33"/>
      <c r="BE179" s="33"/>
      <c r="BF179" s="33"/>
      <c r="BG179" s="11"/>
      <c r="BH179" s="36"/>
      <c r="BI179" s="33"/>
      <c r="BJ179" s="33"/>
      <c r="BK179" s="33"/>
      <c r="BL179" s="33"/>
    </row>
    <row r="180" customFormat="false" ht="237.75" hidden="false" customHeight="false" outlineLevel="0" collapsed="false">
      <c r="A180" s="12" t="s">
        <v>22</v>
      </c>
      <c r="B180" s="12" t="s">
        <v>1418</v>
      </c>
      <c r="C180" s="13" t="s">
        <v>1419</v>
      </c>
      <c r="D180" s="14" t="s">
        <v>65</v>
      </c>
      <c r="E180" s="14" t="s">
        <v>66</v>
      </c>
      <c r="F180" s="14" t="n">
        <v>1</v>
      </c>
      <c r="G180" s="14" t="n">
        <v>1</v>
      </c>
      <c r="H180" s="15" t="n">
        <v>399.98</v>
      </c>
      <c r="I180" s="15" t="n">
        <v>399.98</v>
      </c>
      <c r="J180" s="16" t="s">
        <v>1420</v>
      </c>
      <c r="K180" s="45" t="n">
        <v>179</v>
      </c>
      <c r="L180" s="17" t="s">
        <v>68</v>
      </c>
      <c r="M180" s="17" t="n">
        <v>21000000551</v>
      </c>
      <c r="N180" s="18" t="s">
        <v>1421</v>
      </c>
      <c r="O180" s="17" t="s">
        <v>200</v>
      </c>
      <c r="P180" s="17" t="n">
        <f aca="false">SUM(R180:AP180)</f>
        <v>1</v>
      </c>
      <c r="Q180" s="17" t="s">
        <v>71</v>
      </c>
      <c r="R180" s="17"/>
      <c r="S180" s="17"/>
      <c r="T180" s="17"/>
      <c r="U180" s="17"/>
      <c r="V180" s="17"/>
      <c r="W180" s="17" t="n">
        <v>1</v>
      </c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4"/>
      <c r="AJ180" s="17"/>
      <c r="AK180" s="17"/>
      <c r="AL180" s="17"/>
      <c r="AM180" s="17"/>
      <c r="AN180" s="17"/>
      <c r="AO180" s="17"/>
      <c r="AP180" s="17"/>
      <c r="AQ180" s="19" t="s">
        <v>1421</v>
      </c>
      <c r="AR180" s="17" t="s">
        <v>155</v>
      </c>
      <c r="AS180" s="20" t="n">
        <f aca="false">AVERAGE(AV180,BB180,BH180)</f>
        <v>3550.68</v>
      </c>
      <c r="AT180" s="21" t="n">
        <f aca="false">(AS180*1.3)</f>
        <v>4615.884</v>
      </c>
      <c r="AU180" s="48" t="s">
        <v>1114</v>
      </c>
      <c r="AV180" s="20" t="n">
        <f aca="false">1775.34*2</f>
        <v>3550.68</v>
      </c>
      <c r="AW180" s="16" t="s">
        <v>1422</v>
      </c>
      <c r="AX180" s="45" t="s">
        <v>1163</v>
      </c>
      <c r="AY180" s="17" t="s">
        <v>1423</v>
      </c>
      <c r="AZ180" s="55" t="n">
        <v>45000</v>
      </c>
      <c r="BA180" s="10"/>
      <c r="BB180" s="20"/>
      <c r="BC180" s="17"/>
      <c r="BD180" s="17"/>
      <c r="BE180" s="17"/>
      <c r="BF180" s="17"/>
      <c r="BG180" s="11"/>
      <c r="BH180" s="20"/>
      <c r="BI180" s="17"/>
      <c r="BJ180" s="17"/>
      <c r="BK180" s="17"/>
      <c r="BL180" s="17"/>
    </row>
    <row r="181" customFormat="false" ht="181.5" hidden="false" customHeight="false" outlineLevel="0" collapsed="false">
      <c r="A181" s="94" t="s">
        <v>36</v>
      </c>
      <c r="B181" s="94" t="s">
        <v>1424</v>
      </c>
      <c r="C181" s="95" t="n">
        <v>433226</v>
      </c>
      <c r="D181" s="96" t="s">
        <v>65</v>
      </c>
      <c r="E181" s="96" t="s">
        <v>66</v>
      </c>
      <c r="F181" s="96" t="n">
        <v>1</v>
      </c>
      <c r="G181" s="96" t="n">
        <v>1</v>
      </c>
      <c r="H181" s="97" t="n">
        <v>459</v>
      </c>
      <c r="I181" s="97" t="n">
        <v>459</v>
      </c>
      <c r="J181" s="98" t="s">
        <v>1425</v>
      </c>
      <c r="K181" s="49" t="n">
        <v>180</v>
      </c>
      <c r="L181" s="99" t="s">
        <v>68</v>
      </c>
      <c r="M181" s="99" t="n">
        <v>21000000359</v>
      </c>
      <c r="N181" s="100" t="s">
        <v>1426</v>
      </c>
      <c r="O181" s="99" t="s">
        <v>200</v>
      </c>
      <c r="P181" s="99" t="n">
        <f aca="false">SUM(R181:AP181)</f>
        <v>1</v>
      </c>
      <c r="Q181" s="99" t="s">
        <v>71</v>
      </c>
      <c r="R181" s="99"/>
      <c r="S181" s="99"/>
      <c r="T181" s="99"/>
      <c r="U181" s="99"/>
      <c r="V181" s="99"/>
      <c r="W181" s="99"/>
      <c r="X181" s="99"/>
      <c r="Y181" s="99"/>
      <c r="Z181" s="99"/>
      <c r="AA181" s="101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 t="n">
        <v>1</v>
      </c>
      <c r="AL181" s="99"/>
      <c r="AM181" s="99"/>
      <c r="AN181" s="99"/>
      <c r="AO181" s="99"/>
      <c r="AP181" s="99"/>
      <c r="AQ181" s="102" t="s">
        <v>1426</v>
      </c>
      <c r="AR181" s="99" t="s">
        <v>155</v>
      </c>
      <c r="AS181" s="103" t="n">
        <f aca="false">AVERAGE(AV181,BB181,BH181)</f>
        <v>1.131</v>
      </c>
      <c r="AT181" s="103" t="n">
        <f aca="false">(AS181*1.3)</f>
        <v>1.4703</v>
      </c>
      <c r="AU181" s="104" t="s">
        <v>128</v>
      </c>
      <c r="AV181" s="103" t="n">
        <f aca="false">496.47/500</f>
        <v>0.99294</v>
      </c>
      <c r="AW181" s="105" t="s">
        <v>1427</v>
      </c>
      <c r="AX181" s="104" t="s">
        <v>130</v>
      </c>
      <c r="AY181" s="99" t="s">
        <v>131</v>
      </c>
      <c r="AZ181" s="106" t="n">
        <v>45000</v>
      </c>
      <c r="BA181" s="104" t="s">
        <v>107</v>
      </c>
      <c r="BB181" s="103" t="n">
        <f aca="false">634.53 /500</f>
        <v>1.26906</v>
      </c>
      <c r="BC181" s="105" t="s">
        <v>1428</v>
      </c>
      <c r="BD181" s="104" t="s">
        <v>109</v>
      </c>
      <c r="BE181" s="99" t="s">
        <v>253</v>
      </c>
      <c r="BF181" s="106" t="n">
        <v>45000</v>
      </c>
      <c r="BG181" s="99"/>
      <c r="BH181" s="103"/>
      <c r="BI181" s="99"/>
      <c r="BJ181" s="99"/>
      <c r="BK181" s="99"/>
      <c r="BL181" s="99"/>
    </row>
    <row r="182" customFormat="false" ht="147.75" hidden="false" customHeight="false" outlineLevel="0" collapsed="false">
      <c r="A182" s="12" t="s">
        <v>21</v>
      </c>
      <c r="B182" s="12" t="s">
        <v>1429</v>
      </c>
      <c r="C182" s="13" t="s">
        <v>1430</v>
      </c>
      <c r="D182" s="14" t="s">
        <v>65</v>
      </c>
      <c r="E182" s="14" t="s">
        <v>66</v>
      </c>
      <c r="F182" s="14" t="n">
        <v>3</v>
      </c>
      <c r="G182" s="14" t="n">
        <v>3</v>
      </c>
      <c r="H182" s="15" t="n">
        <v>82.35</v>
      </c>
      <c r="I182" s="15" t="n">
        <v>247.05</v>
      </c>
      <c r="J182" s="16" t="s">
        <v>1431</v>
      </c>
      <c r="K182" s="45" t="n">
        <v>181</v>
      </c>
      <c r="L182" s="17" t="s">
        <v>68</v>
      </c>
      <c r="M182" s="17" t="n">
        <v>21000000262</v>
      </c>
      <c r="N182" s="18" t="s">
        <v>1432</v>
      </c>
      <c r="O182" s="17" t="s">
        <v>1433</v>
      </c>
      <c r="P182" s="17" t="n">
        <f aca="false">SUM(R182:AP182)</f>
        <v>12</v>
      </c>
      <c r="Q182" s="17" t="s">
        <v>71</v>
      </c>
      <c r="R182" s="17"/>
      <c r="S182" s="17"/>
      <c r="T182" s="17"/>
      <c r="U182" s="17"/>
      <c r="V182" s="17" t="n">
        <v>3</v>
      </c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 t="n">
        <v>9</v>
      </c>
      <c r="AL182" s="17"/>
      <c r="AM182" s="17"/>
      <c r="AN182" s="17"/>
      <c r="AO182" s="17"/>
      <c r="AP182" s="17"/>
      <c r="AQ182" s="19" t="s">
        <v>1432</v>
      </c>
      <c r="AR182" s="17" t="s">
        <v>155</v>
      </c>
      <c r="AS182" s="20" t="n">
        <f aca="false">AVERAGE(AV182,BB182,BH182)</f>
        <v>83.8933333333333</v>
      </c>
      <c r="AT182" s="21" t="n">
        <f aca="false">(AS182*1.3)</f>
        <v>109.061333333333</v>
      </c>
      <c r="AU182" s="48" t="s">
        <v>128</v>
      </c>
      <c r="AV182" s="20" t="n">
        <v>76.94</v>
      </c>
      <c r="AW182" s="16" t="s">
        <v>1434</v>
      </c>
      <c r="AX182" s="45" t="s">
        <v>130</v>
      </c>
      <c r="AY182" s="17" t="s">
        <v>253</v>
      </c>
      <c r="AZ182" s="55" t="n">
        <v>45000</v>
      </c>
      <c r="BA182" s="44" t="s">
        <v>87</v>
      </c>
      <c r="BB182" s="20" t="n">
        <v>74.74</v>
      </c>
      <c r="BC182" s="16" t="s">
        <v>1435</v>
      </c>
      <c r="BD182" s="45" t="s">
        <v>610</v>
      </c>
      <c r="BE182" s="17" t="s">
        <v>255</v>
      </c>
      <c r="BF182" s="55" t="n">
        <v>45000</v>
      </c>
      <c r="BG182" s="56" t="s">
        <v>287</v>
      </c>
      <c r="BH182" s="20" t="n">
        <f aca="false">50*2</f>
        <v>100</v>
      </c>
      <c r="BI182" s="23" t="s">
        <v>1436</v>
      </c>
      <c r="BJ182" s="45" t="s">
        <v>134</v>
      </c>
      <c r="BK182" s="17" t="s">
        <v>289</v>
      </c>
      <c r="BL182" s="55" t="n">
        <v>45000</v>
      </c>
    </row>
    <row r="183" customFormat="false" ht="451.5" hidden="false" customHeight="false" outlineLevel="0" collapsed="false">
      <c r="A183" s="28" t="s">
        <v>26</v>
      </c>
      <c r="B183" s="28" t="s">
        <v>1437</v>
      </c>
      <c r="C183" s="29" t="s">
        <v>1438</v>
      </c>
      <c r="D183" s="30" t="s">
        <v>65</v>
      </c>
      <c r="E183" s="30" t="s">
        <v>66</v>
      </c>
      <c r="F183" s="30" t="n">
        <v>1</v>
      </c>
      <c r="G183" s="30" t="n">
        <v>500</v>
      </c>
      <c r="H183" s="31" t="n">
        <v>90</v>
      </c>
      <c r="I183" s="31" t="n">
        <v>90</v>
      </c>
      <c r="J183" s="32" t="s">
        <v>1439</v>
      </c>
      <c r="K183" s="49" t="n">
        <v>182</v>
      </c>
      <c r="L183" s="33" t="s">
        <v>68</v>
      </c>
      <c r="M183" s="33" t="n">
        <v>21000000274</v>
      </c>
      <c r="N183" s="34" t="s">
        <v>1440</v>
      </c>
      <c r="O183" s="33" t="s">
        <v>70</v>
      </c>
      <c r="P183" s="33" t="n">
        <f aca="false">SUM(R183:AP183)</f>
        <v>1000</v>
      </c>
      <c r="Q183" s="33" t="s">
        <v>71</v>
      </c>
      <c r="R183" s="33"/>
      <c r="S183" s="33"/>
      <c r="T183" s="33"/>
      <c r="U183" s="33"/>
      <c r="V183" s="33"/>
      <c r="W183" s="33"/>
      <c r="X183" s="33"/>
      <c r="Y183" s="33"/>
      <c r="Z183" s="33"/>
      <c r="AA183" s="33" t="n">
        <v>500</v>
      </c>
      <c r="AB183" s="33"/>
      <c r="AC183" s="33"/>
      <c r="AD183" s="33"/>
      <c r="AE183" s="33"/>
      <c r="AF183" s="33"/>
      <c r="AG183" s="33"/>
      <c r="AH183" s="33"/>
      <c r="AI183" s="33" t="n">
        <v>500</v>
      </c>
      <c r="AJ183" s="33"/>
      <c r="AK183" s="33"/>
      <c r="AL183" s="33"/>
      <c r="AM183" s="33"/>
      <c r="AN183" s="33"/>
      <c r="AO183" s="33"/>
      <c r="AP183" s="33"/>
      <c r="AQ183" s="35" t="s">
        <v>1440</v>
      </c>
      <c r="AR183" s="33" t="s">
        <v>155</v>
      </c>
      <c r="AS183" s="36" t="n">
        <f aca="false">AVERAGE(AV183,BB183,BH183)</f>
        <v>0.41443</v>
      </c>
      <c r="AT183" s="21" t="n">
        <f aca="false">(AS183*1.3)</f>
        <v>0.538759</v>
      </c>
      <c r="AU183" s="48" t="s">
        <v>107</v>
      </c>
      <c r="AV183" s="36" t="n">
        <f aca="false">127.76/ 1000</f>
        <v>0.12776</v>
      </c>
      <c r="AW183" s="32" t="s">
        <v>1441</v>
      </c>
      <c r="AX183" s="49" t="s">
        <v>109</v>
      </c>
      <c r="AY183" s="33" t="s">
        <v>253</v>
      </c>
      <c r="AZ183" s="67" t="n">
        <v>45000</v>
      </c>
      <c r="BA183" s="44" t="s">
        <v>1015</v>
      </c>
      <c r="BB183" s="36" t="n">
        <f aca="false">70.11/100</f>
        <v>0.7011</v>
      </c>
      <c r="BC183" s="38" t="s">
        <v>1442</v>
      </c>
      <c r="BD183" s="49" t="s">
        <v>1443</v>
      </c>
      <c r="BE183" s="33" t="s">
        <v>1444</v>
      </c>
      <c r="BF183" s="67" t="n">
        <v>45000</v>
      </c>
      <c r="BG183" s="11"/>
      <c r="BH183" s="36"/>
      <c r="BI183" s="33"/>
      <c r="BJ183" s="33"/>
      <c r="BK183" s="33"/>
      <c r="BL183" s="33"/>
    </row>
    <row r="184" customFormat="false" ht="361.5" hidden="false" customHeight="false" outlineLevel="0" collapsed="false">
      <c r="A184" s="12" t="s">
        <v>22</v>
      </c>
      <c r="B184" s="12" t="s">
        <v>1445</v>
      </c>
      <c r="C184" s="13" t="s">
        <v>1446</v>
      </c>
      <c r="D184" s="14" t="s">
        <v>65</v>
      </c>
      <c r="E184" s="14" t="s">
        <v>66</v>
      </c>
      <c r="F184" s="14" t="n">
        <v>24</v>
      </c>
      <c r="G184" s="14" t="n">
        <v>24</v>
      </c>
      <c r="H184" s="15" t="n">
        <v>11.21</v>
      </c>
      <c r="I184" s="15" t="n">
        <v>269.04</v>
      </c>
      <c r="J184" s="16" t="s">
        <v>1447</v>
      </c>
      <c r="K184" s="45" t="n">
        <v>183</v>
      </c>
      <c r="L184" s="17" t="s">
        <v>68</v>
      </c>
      <c r="M184" s="17" t="n">
        <v>21000000276</v>
      </c>
      <c r="N184" s="18" t="s">
        <v>1448</v>
      </c>
      <c r="O184" s="17" t="s">
        <v>115</v>
      </c>
      <c r="P184" s="17" t="n">
        <f aca="false">SUM(R184:AP184)</f>
        <v>25</v>
      </c>
      <c r="Q184" s="17" t="s">
        <v>71</v>
      </c>
      <c r="R184" s="17"/>
      <c r="S184" s="17"/>
      <c r="T184" s="17"/>
      <c r="U184" s="17"/>
      <c r="V184" s="17"/>
      <c r="W184" s="17" t="n">
        <v>24</v>
      </c>
      <c r="X184" s="17"/>
      <c r="Y184" s="17"/>
      <c r="Z184" s="17"/>
      <c r="AA184" s="82" t="n">
        <v>1</v>
      </c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9" t="s">
        <v>1448</v>
      </c>
      <c r="AR184" s="17" t="s">
        <v>155</v>
      </c>
      <c r="AS184" s="20" t="n">
        <f aca="false">AVERAGE(AV184,BB184,BH184)</f>
        <v>41.7533333333333</v>
      </c>
      <c r="AT184" s="21" t="n">
        <f aca="false">(AS184*1.3)</f>
        <v>54.2793333333333</v>
      </c>
      <c r="AU184" s="48" t="s">
        <v>128</v>
      </c>
      <c r="AV184" s="20" t="n">
        <v>36.34</v>
      </c>
      <c r="AW184" s="16" t="s">
        <v>1449</v>
      </c>
      <c r="AX184" s="45" t="s">
        <v>130</v>
      </c>
      <c r="AY184" s="17" t="s">
        <v>131</v>
      </c>
      <c r="AZ184" s="55" t="n">
        <v>45000</v>
      </c>
      <c r="BA184" s="44" t="s">
        <v>125</v>
      </c>
      <c r="BB184" s="20" t="n">
        <v>50.28</v>
      </c>
      <c r="BC184" s="16" t="s">
        <v>1450</v>
      </c>
      <c r="BD184" s="45" t="s">
        <v>127</v>
      </c>
      <c r="BE184" s="17" t="s">
        <v>253</v>
      </c>
      <c r="BF184" s="55" t="n">
        <v>45000</v>
      </c>
      <c r="BG184" s="56" t="s">
        <v>107</v>
      </c>
      <c r="BH184" s="20" t="n">
        <v>38.64</v>
      </c>
      <c r="BI184" s="23" t="s">
        <v>1451</v>
      </c>
      <c r="BJ184" s="45" t="s">
        <v>109</v>
      </c>
      <c r="BK184" s="17" t="s">
        <v>253</v>
      </c>
      <c r="BL184" s="55" t="n">
        <v>45000</v>
      </c>
    </row>
    <row r="185" customFormat="false" ht="451.5" hidden="false" customHeight="false" outlineLevel="0" collapsed="false">
      <c r="A185" s="28" t="s">
        <v>34</v>
      </c>
      <c r="B185" s="28" t="s">
        <v>1452</v>
      </c>
      <c r="C185" s="29" t="s">
        <v>1453</v>
      </c>
      <c r="D185" s="30" t="s">
        <v>65</v>
      </c>
      <c r="E185" s="30" t="s">
        <v>66</v>
      </c>
      <c r="F185" s="30" t="n">
        <v>1</v>
      </c>
      <c r="G185" s="30" t="n">
        <v>100</v>
      </c>
      <c r="H185" s="31" t="n">
        <v>65</v>
      </c>
      <c r="I185" s="31" t="n">
        <v>65</v>
      </c>
      <c r="J185" s="38" t="s">
        <v>1454</v>
      </c>
      <c r="K185" s="49" t="n">
        <v>184</v>
      </c>
      <c r="L185" s="33" t="s">
        <v>68</v>
      </c>
      <c r="M185" s="33" t="n">
        <v>21000000580</v>
      </c>
      <c r="N185" s="34" t="s">
        <v>1455</v>
      </c>
      <c r="O185" s="33" t="s">
        <v>70</v>
      </c>
      <c r="P185" s="33" t="n">
        <f aca="false">SUM(R185:AP185)</f>
        <v>100</v>
      </c>
      <c r="Q185" s="33" t="s">
        <v>71</v>
      </c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 t="n">
        <v>100</v>
      </c>
      <c r="AJ185" s="33"/>
      <c r="AK185" s="33"/>
      <c r="AL185" s="33"/>
      <c r="AM185" s="33"/>
      <c r="AN185" s="33"/>
      <c r="AO185" s="33"/>
      <c r="AP185" s="30"/>
      <c r="AQ185" s="35" t="s">
        <v>1455</v>
      </c>
      <c r="AR185" s="33" t="s">
        <v>155</v>
      </c>
      <c r="AS185" s="36" t="n">
        <f aca="false">AVERAGE(AV185,BB185,BH185)</f>
        <v>1.01333333333333</v>
      </c>
      <c r="AT185" s="21" t="n">
        <f aca="false">(AS185*1.3)</f>
        <v>1.31733333333333</v>
      </c>
      <c r="AU185" s="48" t="s">
        <v>157</v>
      </c>
      <c r="AV185" s="36" t="n">
        <f aca="false">100/100</f>
        <v>1</v>
      </c>
      <c r="AW185" s="32" t="s">
        <v>1456</v>
      </c>
      <c r="AX185" s="49" t="s">
        <v>159</v>
      </c>
      <c r="AY185" s="33" t="s">
        <v>135</v>
      </c>
      <c r="AZ185" s="67" t="n">
        <v>45000</v>
      </c>
      <c r="BA185" s="44" t="s">
        <v>555</v>
      </c>
      <c r="BB185" s="36" t="n">
        <f aca="false">108/100</f>
        <v>1.08</v>
      </c>
      <c r="BC185" s="38" t="s">
        <v>1457</v>
      </c>
      <c r="BD185" s="49" t="s">
        <v>503</v>
      </c>
      <c r="BE185" s="33" t="s">
        <v>135</v>
      </c>
      <c r="BF185" s="67" t="n">
        <v>45000</v>
      </c>
      <c r="BG185" s="56" t="s">
        <v>104</v>
      </c>
      <c r="BH185" s="36" t="n">
        <f aca="false">96 /100</f>
        <v>0.96</v>
      </c>
      <c r="BI185" s="60" t="s">
        <v>1458</v>
      </c>
      <c r="BJ185" s="49" t="s">
        <v>420</v>
      </c>
      <c r="BK185" s="33" t="s">
        <v>135</v>
      </c>
      <c r="BL185" s="67" t="n">
        <v>45000</v>
      </c>
    </row>
    <row r="186" customFormat="false" ht="406.5" hidden="false" customHeight="false" outlineLevel="0" collapsed="false">
      <c r="A186" s="12" t="s">
        <v>22</v>
      </c>
      <c r="B186" s="12" t="s">
        <v>1459</v>
      </c>
      <c r="C186" s="13" t="s">
        <v>1460</v>
      </c>
      <c r="D186" s="14" t="s">
        <v>65</v>
      </c>
      <c r="E186" s="14" t="s">
        <v>66</v>
      </c>
      <c r="F186" s="14" t="n">
        <v>500</v>
      </c>
      <c r="G186" s="14" t="n">
        <v>500</v>
      </c>
      <c r="H186" s="15" t="n">
        <v>47</v>
      </c>
      <c r="I186" s="15" t="n">
        <v>23500</v>
      </c>
      <c r="J186" s="23" t="s">
        <v>1461</v>
      </c>
      <c r="K186" s="45" t="n">
        <v>185</v>
      </c>
      <c r="L186" s="17" t="s">
        <v>68</v>
      </c>
      <c r="M186" s="17" t="n">
        <v>21000000394</v>
      </c>
      <c r="N186" s="18" t="s">
        <v>1462</v>
      </c>
      <c r="O186" s="17" t="s">
        <v>70</v>
      </c>
      <c r="P186" s="17" t="n">
        <f aca="false">SUM(R186:AP186)</f>
        <v>500</v>
      </c>
      <c r="Q186" s="17" t="s">
        <v>71</v>
      </c>
      <c r="R186" s="17"/>
      <c r="S186" s="17"/>
      <c r="T186" s="17"/>
      <c r="U186" s="17"/>
      <c r="V186" s="17"/>
      <c r="W186" s="17" t="n">
        <v>500</v>
      </c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4"/>
      <c r="AJ186" s="17"/>
      <c r="AK186" s="17"/>
      <c r="AL186" s="17"/>
      <c r="AM186" s="17"/>
      <c r="AN186" s="17"/>
      <c r="AO186" s="17"/>
      <c r="AP186" s="17"/>
      <c r="AQ186" s="19" t="s">
        <v>1462</v>
      </c>
      <c r="AR186" s="17" t="s">
        <v>155</v>
      </c>
      <c r="AS186" s="20" t="n">
        <f aca="false">AVERAGE(AV186,BB186,BH186)</f>
        <v>0.20352</v>
      </c>
      <c r="AT186" s="21" t="n">
        <f aca="false">(AS186*1.3)</f>
        <v>0.264576</v>
      </c>
      <c r="AU186" s="48" t="s">
        <v>1094</v>
      </c>
      <c r="AV186" s="20" t="n">
        <f aca="false">97/500</f>
        <v>0.194</v>
      </c>
      <c r="AW186" s="23" t="s">
        <v>1463</v>
      </c>
      <c r="AX186" s="45" t="s">
        <v>1464</v>
      </c>
      <c r="AY186" s="17" t="s">
        <v>135</v>
      </c>
      <c r="AZ186" s="55" t="n">
        <v>45000</v>
      </c>
      <c r="BA186" s="44" t="s">
        <v>87</v>
      </c>
      <c r="BB186" s="20" t="n">
        <f aca="false">100.28/500</f>
        <v>0.20056</v>
      </c>
      <c r="BC186" s="23" t="s">
        <v>1465</v>
      </c>
      <c r="BD186" s="45" t="s">
        <v>610</v>
      </c>
      <c r="BE186" s="17" t="s">
        <v>255</v>
      </c>
      <c r="BF186" s="55" t="n">
        <v>45000</v>
      </c>
      <c r="BG186" s="56" t="s">
        <v>350</v>
      </c>
      <c r="BH186" s="20" t="n">
        <f aca="false">216 /1000</f>
        <v>0.216</v>
      </c>
      <c r="BI186" s="16" t="s">
        <v>1466</v>
      </c>
      <c r="BJ186" s="45" t="s">
        <v>97</v>
      </c>
      <c r="BK186" s="17" t="s">
        <v>865</v>
      </c>
      <c r="BL186" s="55" t="n">
        <v>45000</v>
      </c>
    </row>
    <row r="187" customFormat="false" ht="417.75" hidden="false" customHeight="false" outlineLevel="0" collapsed="false">
      <c r="A187" s="28" t="s">
        <v>22</v>
      </c>
      <c r="B187" s="28" t="s">
        <v>1467</v>
      </c>
      <c r="C187" s="29" t="s">
        <v>1468</v>
      </c>
      <c r="D187" s="30" t="s">
        <v>65</v>
      </c>
      <c r="E187" s="30" t="s">
        <v>66</v>
      </c>
      <c r="F187" s="30" t="n">
        <v>26</v>
      </c>
      <c r="G187" s="30" t="n">
        <v>50</v>
      </c>
      <c r="H187" s="31" t="n">
        <v>21.63</v>
      </c>
      <c r="I187" s="31" t="n">
        <v>562.38</v>
      </c>
      <c r="J187" s="38" t="s">
        <v>1469</v>
      </c>
      <c r="K187" s="49" t="n">
        <v>186</v>
      </c>
      <c r="L187" s="33" t="s">
        <v>68</v>
      </c>
      <c r="M187" s="33" t="n">
        <v>21000000161</v>
      </c>
      <c r="N187" s="34" t="s">
        <v>1470</v>
      </c>
      <c r="O187" s="33" t="s">
        <v>70</v>
      </c>
      <c r="P187" s="33" t="n">
        <f aca="false">SUM(R187:AP187)</f>
        <v>125</v>
      </c>
      <c r="Q187" s="33" t="s">
        <v>71</v>
      </c>
      <c r="R187" s="33"/>
      <c r="S187" s="33"/>
      <c r="T187" s="33"/>
      <c r="U187" s="33"/>
      <c r="V187" s="33"/>
      <c r="W187" s="33" t="n">
        <v>50</v>
      </c>
      <c r="X187" s="33"/>
      <c r="Y187" s="33"/>
      <c r="Z187" s="33"/>
      <c r="AA187" s="33" t="n">
        <v>25</v>
      </c>
      <c r="AB187" s="33"/>
      <c r="AC187" s="33"/>
      <c r="AD187" s="33"/>
      <c r="AE187" s="33"/>
      <c r="AF187" s="33"/>
      <c r="AG187" s="33"/>
      <c r="AH187" s="33"/>
      <c r="AI187" s="33" t="n">
        <v>50</v>
      </c>
      <c r="AJ187" s="33"/>
      <c r="AK187" s="33"/>
      <c r="AL187" s="33"/>
      <c r="AM187" s="33"/>
      <c r="AN187" s="33"/>
      <c r="AO187" s="33"/>
      <c r="AP187" s="33"/>
      <c r="AQ187" s="35" t="s">
        <v>1470</v>
      </c>
      <c r="AR187" s="33" t="s">
        <v>155</v>
      </c>
      <c r="AS187" s="36" t="n">
        <f aca="false">AVERAGE(AV187,BB187,BH187)</f>
        <v>1.19413333333333</v>
      </c>
      <c r="AT187" s="21" t="n">
        <f aca="false">(AS187*1.3)</f>
        <v>1.55237333333333</v>
      </c>
      <c r="AU187" s="48" t="s">
        <v>107</v>
      </c>
      <c r="AV187" s="36" t="n">
        <f aca="false">30/25</f>
        <v>1.2</v>
      </c>
      <c r="AW187" s="32" t="s">
        <v>1471</v>
      </c>
      <c r="AX187" s="49" t="s">
        <v>109</v>
      </c>
      <c r="AY187" s="33" t="s">
        <v>253</v>
      </c>
      <c r="AZ187" s="67" t="n">
        <v>45000</v>
      </c>
      <c r="BA187" s="44" t="s">
        <v>128</v>
      </c>
      <c r="BB187" s="36" t="n">
        <f aca="false">29.56/25</f>
        <v>1.1824</v>
      </c>
      <c r="BC187" s="32" t="s">
        <v>1472</v>
      </c>
      <c r="BD187" s="49" t="s">
        <v>130</v>
      </c>
      <c r="BE187" s="33" t="s">
        <v>131</v>
      </c>
      <c r="BF187" s="67" t="n">
        <v>45000</v>
      </c>
      <c r="BG187" s="56" t="s">
        <v>175</v>
      </c>
      <c r="BH187" s="36" t="n">
        <f aca="false">30/25</f>
        <v>1.2</v>
      </c>
      <c r="BI187" s="38" t="s">
        <v>1473</v>
      </c>
      <c r="BJ187" s="49" t="s">
        <v>587</v>
      </c>
      <c r="BK187" s="33" t="s">
        <v>865</v>
      </c>
      <c r="BL187" s="67" t="n">
        <v>45000</v>
      </c>
    </row>
    <row r="188" customFormat="false" ht="147.75" hidden="false" customHeight="false" outlineLevel="0" collapsed="false">
      <c r="A188" s="12" t="s">
        <v>40</v>
      </c>
      <c r="B188" s="12" t="s">
        <v>1474</v>
      </c>
      <c r="C188" s="13" t="s">
        <v>1475</v>
      </c>
      <c r="D188" s="14" t="s">
        <v>65</v>
      </c>
      <c r="E188" s="14" t="s">
        <v>66</v>
      </c>
      <c r="F188" s="14" t="n">
        <v>1</v>
      </c>
      <c r="G188" s="14" t="n">
        <v>1</v>
      </c>
      <c r="H188" s="15" t="n">
        <v>359.3</v>
      </c>
      <c r="I188" s="15" t="n">
        <v>359.3</v>
      </c>
      <c r="J188" s="16" t="s">
        <v>1476</v>
      </c>
      <c r="K188" s="45" t="n">
        <v>187</v>
      </c>
      <c r="L188" s="17" t="s">
        <v>68</v>
      </c>
      <c r="M188" s="17" t="n">
        <v>21000000472</v>
      </c>
      <c r="N188" s="18" t="s">
        <v>1477</v>
      </c>
      <c r="O188" s="17" t="s">
        <v>200</v>
      </c>
      <c r="P188" s="17" t="n">
        <f aca="false">SUM(R188:AP188)</f>
        <v>1</v>
      </c>
      <c r="Q188" s="17" t="s">
        <v>71</v>
      </c>
      <c r="R188" s="17"/>
      <c r="S188" s="17"/>
      <c r="T188" s="17"/>
      <c r="U188" s="17"/>
      <c r="V188" s="17"/>
      <c r="W188" s="17"/>
      <c r="X188" s="17"/>
      <c r="Y188" s="17"/>
      <c r="Z188" s="17"/>
      <c r="AA188" s="82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 t="n">
        <v>1</v>
      </c>
      <c r="AP188" s="17"/>
      <c r="AQ188" s="19" t="s">
        <v>1477</v>
      </c>
      <c r="AR188" s="17" t="s">
        <v>294</v>
      </c>
      <c r="AS188" s="20" t="n">
        <f aca="false">AVERAGE(AV188,BB188,BH188)</f>
        <v>463.45</v>
      </c>
      <c r="AT188" s="21" t="n">
        <f aca="false">(AS188*1.3)</f>
        <v>602.485</v>
      </c>
      <c r="AU188" s="7" t="s">
        <v>91</v>
      </c>
      <c r="AV188" s="20" t="n">
        <v>474.01</v>
      </c>
      <c r="AW188" s="23" t="s">
        <v>1478</v>
      </c>
      <c r="AX188" s="17" t="s">
        <v>93</v>
      </c>
      <c r="AY188" s="17" t="s">
        <v>1479</v>
      </c>
      <c r="AZ188" s="25" t="n">
        <v>45000</v>
      </c>
      <c r="BA188" s="41" t="s">
        <v>128</v>
      </c>
      <c r="BB188" s="20" t="n">
        <v>130.34</v>
      </c>
      <c r="BC188" s="23" t="s">
        <v>1480</v>
      </c>
      <c r="BD188" s="24" t="s">
        <v>130</v>
      </c>
      <c r="BE188" s="17" t="s">
        <v>1481</v>
      </c>
      <c r="BF188" s="55" t="n">
        <v>45000</v>
      </c>
      <c r="BG188" s="11" t="s">
        <v>260</v>
      </c>
      <c r="BH188" s="20" t="n">
        <v>786</v>
      </c>
      <c r="BI188" s="23" t="s">
        <v>1482</v>
      </c>
      <c r="BJ188" s="17" t="s">
        <v>262</v>
      </c>
      <c r="BK188" s="17" t="s">
        <v>531</v>
      </c>
      <c r="BL188" s="25" t="n">
        <v>45000</v>
      </c>
    </row>
    <row r="189" customFormat="false" ht="170.25" hidden="false" customHeight="false" outlineLevel="0" collapsed="false">
      <c r="A189" s="28" t="s">
        <v>41</v>
      </c>
      <c r="B189" s="28" t="s">
        <v>1483</v>
      </c>
      <c r="C189" s="29" t="s">
        <v>1484</v>
      </c>
      <c r="D189" s="30" t="s">
        <v>65</v>
      </c>
      <c r="E189" s="30" t="s">
        <v>66</v>
      </c>
      <c r="F189" s="30" t="n">
        <v>2</v>
      </c>
      <c r="G189" s="30" t="n">
        <v>2</v>
      </c>
      <c r="H189" s="31" t="n">
        <v>350</v>
      </c>
      <c r="I189" s="31" t="n">
        <v>700</v>
      </c>
      <c r="J189" s="32" t="s">
        <v>1485</v>
      </c>
      <c r="K189" s="49" t="n">
        <v>188</v>
      </c>
      <c r="L189" s="33" t="s">
        <v>68</v>
      </c>
      <c r="M189" s="33" t="n">
        <v>21000000515</v>
      </c>
      <c r="N189" s="34" t="s">
        <v>1486</v>
      </c>
      <c r="O189" s="33" t="s">
        <v>200</v>
      </c>
      <c r="P189" s="33" t="n">
        <f aca="false">SUM(R189:AP189)</f>
        <v>2</v>
      </c>
      <c r="Q189" s="33" t="s">
        <v>71</v>
      </c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 t="n">
        <v>2</v>
      </c>
      <c r="AQ189" s="35" t="s">
        <v>1486</v>
      </c>
      <c r="AR189" s="33" t="s">
        <v>294</v>
      </c>
      <c r="AS189" s="36" t="n">
        <f aca="false">AVERAGE(AV189,BB189,BH189)</f>
        <v>290.283333333333</v>
      </c>
      <c r="AT189" s="21" t="n">
        <f aca="false">(AS189*1.3)</f>
        <v>377.368333333333</v>
      </c>
      <c r="AU189" s="7" t="s">
        <v>104</v>
      </c>
      <c r="AV189" s="36" t="n">
        <v>279.97</v>
      </c>
      <c r="AW189" s="38" t="s">
        <v>1487</v>
      </c>
      <c r="AX189" s="33" t="s">
        <v>1488</v>
      </c>
      <c r="AY189" s="33" t="s">
        <v>1489</v>
      </c>
      <c r="AZ189" s="40" t="n">
        <v>45000</v>
      </c>
      <c r="BA189" s="41" t="s">
        <v>128</v>
      </c>
      <c r="BB189" s="36" t="n">
        <v>313.12</v>
      </c>
      <c r="BC189" s="38" t="s">
        <v>1490</v>
      </c>
      <c r="BD189" s="39" t="s">
        <v>130</v>
      </c>
      <c r="BE189" s="33" t="s">
        <v>1489</v>
      </c>
      <c r="BF189" s="40" t="n">
        <v>45000</v>
      </c>
      <c r="BG189" s="27" t="s">
        <v>128</v>
      </c>
      <c r="BH189" s="36" t="n">
        <v>277.76</v>
      </c>
      <c r="BI189" s="38" t="s">
        <v>1490</v>
      </c>
      <c r="BJ189" s="39" t="s">
        <v>130</v>
      </c>
      <c r="BK189" s="33" t="s">
        <v>1481</v>
      </c>
      <c r="BL189" s="67" t="n">
        <v>45000</v>
      </c>
    </row>
    <row r="190" customFormat="false" ht="451.5" hidden="false" customHeight="false" outlineLevel="0" collapsed="false">
      <c r="A190" s="12" t="s">
        <v>34</v>
      </c>
      <c r="B190" s="12" t="s">
        <v>1452</v>
      </c>
      <c r="C190" s="13" t="s">
        <v>1491</v>
      </c>
      <c r="D190" s="14" t="s">
        <v>65</v>
      </c>
      <c r="E190" s="14" t="s">
        <v>66</v>
      </c>
      <c r="F190" s="14" t="n">
        <v>250</v>
      </c>
      <c r="G190" s="14" t="n">
        <v>300</v>
      </c>
      <c r="H190" s="15" t="n">
        <v>0.61</v>
      </c>
      <c r="I190" s="15" t="n">
        <v>152.5</v>
      </c>
      <c r="J190" s="16" t="s">
        <v>1492</v>
      </c>
      <c r="K190" s="45" t="n">
        <v>189</v>
      </c>
      <c r="L190" s="17" t="s">
        <v>68</v>
      </c>
      <c r="M190" s="17" t="n">
        <v>21000000395</v>
      </c>
      <c r="N190" s="18" t="s">
        <v>1493</v>
      </c>
      <c r="O190" s="17" t="s">
        <v>70</v>
      </c>
      <c r="P190" s="17" t="n">
        <f aca="false">SUM(R190:AP190)</f>
        <v>300</v>
      </c>
      <c r="Q190" s="17" t="s">
        <v>71</v>
      </c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4"/>
      <c r="AC190" s="17"/>
      <c r="AD190" s="17"/>
      <c r="AE190" s="17"/>
      <c r="AF190" s="17"/>
      <c r="AG190" s="17"/>
      <c r="AH190" s="17"/>
      <c r="AI190" s="17" t="n">
        <v>300</v>
      </c>
      <c r="AJ190" s="17"/>
      <c r="AK190" s="17"/>
      <c r="AL190" s="17"/>
      <c r="AM190" s="17"/>
      <c r="AN190" s="17"/>
      <c r="AO190" s="17"/>
      <c r="AP190" s="17"/>
      <c r="AQ190" s="19" t="s">
        <v>1493</v>
      </c>
      <c r="AR190" s="17" t="s">
        <v>294</v>
      </c>
      <c r="AS190" s="20" t="n">
        <f aca="false">AVERAGE(AV190,BB190,BH190)</f>
        <v>0.670533333333333</v>
      </c>
      <c r="AT190" s="21" t="n">
        <f aca="false">(AS190*1.3)</f>
        <v>0.871693333333333</v>
      </c>
      <c r="AU190" s="48" t="s">
        <v>125</v>
      </c>
      <c r="AV190" s="20" t="n">
        <f aca="false">75.5/100</f>
        <v>0.755</v>
      </c>
      <c r="AW190" s="23" t="s">
        <v>1494</v>
      </c>
      <c r="AX190" s="45" t="s">
        <v>127</v>
      </c>
      <c r="AY190" s="17" t="s">
        <v>1489</v>
      </c>
      <c r="AZ190" s="25" t="n">
        <v>45000</v>
      </c>
      <c r="BA190" s="41" t="s">
        <v>128</v>
      </c>
      <c r="BB190" s="20" t="n">
        <f aca="false">67.64/100</f>
        <v>0.6764</v>
      </c>
      <c r="BC190" s="23" t="s">
        <v>1495</v>
      </c>
      <c r="BD190" s="24" t="s">
        <v>130</v>
      </c>
      <c r="BE190" s="17" t="s">
        <v>1481</v>
      </c>
      <c r="BF190" s="55" t="n">
        <v>45000</v>
      </c>
      <c r="BG190" s="27" t="s">
        <v>107</v>
      </c>
      <c r="BH190" s="20" t="n">
        <f aca="false">58.02/100</f>
        <v>0.5802</v>
      </c>
      <c r="BI190" s="23" t="s">
        <v>1496</v>
      </c>
      <c r="BJ190" s="24" t="s">
        <v>109</v>
      </c>
      <c r="BK190" s="17" t="s">
        <v>253</v>
      </c>
      <c r="BL190" s="55" t="n">
        <v>45000</v>
      </c>
    </row>
    <row r="191" customFormat="false" ht="249" hidden="false" customHeight="false" outlineLevel="0" collapsed="false">
      <c r="A191" s="28" t="s">
        <v>28</v>
      </c>
      <c r="B191" s="28" t="s">
        <v>1497</v>
      </c>
      <c r="C191" s="29" t="s">
        <v>1498</v>
      </c>
      <c r="D191" s="30" t="s">
        <v>65</v>
      </c>
      <c r="E191" s="30" t="s">
        <v>66</v>
      </c>
      <c r="F191" s="30" t="n">
        <v>1</v>
      </c>
      <c r="G191" s="30" t="n">
        <v>5</v>
      </c>
      <c r="H191" s="31" t="n">
        <v>280</v>
      </c>
      <c r="I191" s="31" t="n">
        <v>1400</v>
      </c>
      <c r="J191" s="32" t="s">
        <v>1499</v>
      </c>
      <c r="K191" s="49" t="n">
        <v>190</v>
      </c>
      <c r="L191" s="33" t="s">
        <v>591</v>
      </c>
      <c r="M191" s="33" t="n">
        <v>21000000630</v>
      </c>
      <c r="N191" s="34" t="s">
        <v>1500</v>
      </c>
      <c r="O191" s="33" t="s">
        <v>200</v>
      </c>
      <c r="P191" s="33" t="n">
        <f aca="false">SUM(R191:AP191)</f>
        <v>5</v>
      </c>
      <c r="Q191" s="33" t="s">
        <v>71</v>
      </c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 t="n">
        <v>5</v>
      </c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5" t="s">
        <v>1500</v>
      </c>
      <c r="AR191" s="33" t="s">
        <v>294</v>
      </c>
      <c r="AS191" s="36" t="n">
        <f aca="false">AVERAGE(AV191,BB191,BH191)</f>
        <v>994.38</v>
      </c>
      <c r="AT191" s="21" t="n">
        <f aca="false">(AS191*1.3)</f>
        <v>1292.694</v>
      </c>
      <c r="AU191" s="7" t="s">
        <v>1501</v>
      </c>
      <c r="AV191" s="36" t="n">
        <v>994.38</v>
      </c>
      <c r="AW191" s="32" t="s">
        <v>1502</v>
      </c>
      <c r="AX191" s="33" t="s">
        <v>1503</v>
      </c>
      <c r="AY191" s="33" t="s">
        <v>1504</v>
      </c>
      <c r="AZ191" s="40" t="n">
        <v>45000</v>
      </c>
      <c r="BA191" s="10"/>
      <c r="BB191" s="36"/>
      <c r="BC191" s="33"/>
      <c r="BD191" s="33"/>
      <c r="BE191" s="33"/>
      <c r="BF191" s="33"/>
      <c r="BG191" s="11"/>
      <c r="BH191" s="36"/>
      <c r="BI191" s="33"/>
      <c r="BJ191" s="33"/>
      <c r="BK191" s="33"/>
      <c r="BL191" s="33"/>
    </row>
    <row r="192" customFormat="false" ht="294" hidden="false" customHeight="false" outlineLevel="0" collapsed="false">
      <c r="A192" s="12" t="s">
        <v>23</v>
      </c>
      <c r="B192" s="12" t="s">
        <v>1505</v>
      </c>
      <c r="C192" s="13" t="s">
        <v>1506</v>
      </c>
      <c r="D192" s="14" t="s">
        <v>65</v>
      </c>
      <c r="E192" s="14" t="s">
        <v>66</v>
      </c>
      <c r="F192" s="14" t="n">
        <v>2</v>
      </c>
      <c r="G192" s="14" t="n">
        <v>2</v>
      </c>
      <c r="H192" s="15" t="n">
        <v>51.72</v>
      </c>
      <c r="I192" s="15" t="n">
        <v>103.44</v>
      </c>
      <c r="J192" s="16" t="s">
        <v>1507</v>
      </c>
      <c r="K192" s="45" t="n">
        <v>191</v>
      </c>
      <c r="L192" s="17" t="s">
        <v>68</v>
      </c>
      <c r="M192" s="17" t="n">
        <v>21000000254</v>
      </c>
      <c r="N192" s="18" t="s">
        <v>1508</v>
      </c>
      <c r="O192" s="17" t="s">
        <v>703</v>
      </c>
      <c r="P192" s="17" t="n">
        <f aca="false">SUM(R192:AP192)</f>
        <v>3</v>
      </c>
      <c r="Q192" s="17" t="s">
        <v>71</v>
      </c>
      <c r="R192" s="17"/>
      <c r="S192" s="17"/>
      <c r="T192" s="17"/>
      <c r="U192" s="17"/>
      <c r="V192" s="17"/>
      <c r="W192" s="17"/>
      <c r="X192" s="17" t="n">
        <v>2</v>
      </c>
      <c r="Y192" s="17"/>
      <c r="Z192" s="17"/>
      <c r="AA192" s="17" t="n">
        <v>1</v>
      </c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9" t="s">
        <v>1508</v>
      </c>
      <c r="AR192" s="17" t="s">
        <v>294</v>
      </c>
      <c r="AS192" s="20" t="n">
        <f aca="false">AVERAGE(AV192,BB192,BH192)</f>
        <v>28.2633333333333</v>
      </c>
      <c r="AT192" s="21" t="n">
        <f aca="false">(AS192*1.3)</f>
        <v>36.7423333333333</v>
      </c>
      <c r="AU192" s="7" t="s">
        <v>104</v>
      </c>
      <c r="AV192" s="20" t="n">
        <v>24.14</v>
      </c>
      <c r="AW192" s="23" t="s">
        <v>1509</v>
      </c>
      <c r="AX192" s="17" t="s">
        <v>1488</v>
      </c>
      <c r="AY192" s="17" t="s">
        <v>1489</v>
      </c>
      <c r="AZ192" s="25" t="n">
        <v>45000</v>
      </c>
      <c r="BA192" s="41" t="s">
        <v>107</v>
      </c>
      <c r="BB192" s="20" t="n">
        <v>25.41</v>
      </c>
      <c r="BC192" s="23" t="s">
        <v>1510</v>
      </c>
      <c r="BD192" s="24" t="s">
        <v>109</v>
      </c>
      <c r="BE192" s="17" t="s">
        <v>253</v>
      </c>
      <c r="BF192" s="25" t="n">
        <v>45000</v>
      </c>
      <c r="BG192" s="27" t="s">
        <v>128</v>
      </c>
      <c r="BH192" s="20" t="n">
        <v>35.24</v>
      </c>
      <c r="BI192" s="23" t="s">
        <v>1511</v>
      </c>
      <c r="BJ192" s="24" t="s">
        <v>130</v>
      </c>
      <c r="BK192" s="17" t="s">
        <v>98</v>
      </c>
      <c r="BL192" s="25" t="n">
        <v>45000</v>
      </c>
    </row>
    <row r="193" customFormat="false" ht="226.5" hidden="false" customHeight="false" outlineLevel="0" collapsed="false">
      <c r="A193" s="28" t="s">
        <v>28</v>
      </c>
      <c r="B193" s="28" t="s">
        <v>1512</v>
      </c>
      <c r="C193" s="29" t="n">
        <v>374748</v>
      </c>
      <c r="D193" s="30" t="s">
        <v>65</v>
      </c>
      <c r="E193" s="30" t="s">
        <v>66</v>
      </c>
      <c r="F193" s="30" t="n">
        <v>1</v>
      </c>
      <c r="G193" s="30" t="n">
        <v>5</v>
      </c>
      <c r="H193" s="31" t="n">
        <v>900</v>
      </c>
      <c r="I193" s="31" t="n">
        <v>1800</v>
      </c>
      <c r="J193" s="32" t="s">
        <v>1513</v>
      </c>
      <c r="K193" s="49" t="n">
        <v>192</v>
      </c>
      <c r="L193" s="33" t="s">
        <v>68</v>
      </c>
      <c r="M193" s="33" t="n">
        <v>21000000582</v>
      </c>
      <c r="N193" s="34" t="s">
        <v>1514</v>
      </c>
      <c r="O193" s="33" t="s">
        <v>703</v>
      </c>
      <c r="P193" s="33" t="n">
        <f aca="false">SUM(R193:AP193)</f>
        <v>5</v>
      </c>
      <c r="Q193" s="33" t="s">
        <v>71</v>
      </c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 t="n">
        <v>5</v>
      </c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5" t="s">
        <v>1514</v>
      </c>
      <c r="AR193" s="33"/>
      <c r="AS193" s="36" t="e">
        <f aca="false">AVERAGE(AV193,BB193,BH193)</f>
        <v>#DIV/0!</v>
      </c>
      <c r="AT193" s="47" t="e">
        <f aca="false">(AS193*1.3)</f>
        <v>#DIV/0!</v>
      </c>
      <c r="AU193" s="7"/>
      <c r="AV193" s="36"/>
      <c r="AW193" s="33"/>
      <c r="AX193" s="33"/>
      <c r="AY193" s="33"/>
      <c r="AZ193" s="33"/>
      <c r="BA193" s="10"/>
      <c r="BB193" s="36"/>
      <c r="BC193" s="33"/>
      <c r="BD193" s="33"/>
      <c r="BE193" s="33"/>
      <c r="BF193" s="33"/>
      <c r="BG193" s="11"/>
      <c r="BH193" s="36"/>
      <c r="BI193" s="33"/>
      <c r="BJ193" s="33"/>
      <c r="BK193" s="33"/>
      <c r="BL193" s="33"/>
    </row>
    <row r="194" customFormat="false" ht="361.5" hidden="false" customHeight="false" outlineLevel="0" collapsed="false">
      <c r="A194" s="12" t="s">
        <v>25</v>
      </c>
      <c r="B194" s="12" t="s">
        <v>1515</v>
      </c>
      <c r="C194" s="13" t="s">
        <v>1516</v>
      </c>
      <c r="D194" s="14" t="s">
        <v>65</v>
      </c>
      <c r="E194" s="14" t="s">
        <v>66</v>
      </c>
      <c r="F194" s="14" t="n">
        <v>4</v>
      </c>
      <c r="G194" s="14" t="n">
        <v>100</v>
      </c>
      <c r="H194" s="15" t="n">
        <v>65</v>
      </c>
      <c r="I194" s="15" t="n">
        <v>260</v>
      </c>
      <c r="J194" s="23" t="s">
        <v>1517</v>
      </c>
      <c r="K194" s="45" t="n">
        <v>193</v>
      </c>
      <c r="L194" s="17" t="s">
        <v>68</v>
      </c>
      <c r="M194" s="17" t="n">
        <v>21000000252</v>
      </c>
      <c r="N194" s="18" t="s">
        <v>1518</v>
      </c>
      <c r="O194" s="17" t="s">
        <v>70</v>
      </c>
      <c r="P194" s="17" t="n">
        <f aca="false">SUM(R194:AP194)</f>
        <v>150</v>
      </c>
      <c r="Q194" s="17" t="s">
        <v>71</v>
      </c>
      <c r="R194" s="17"/>
      <c r="S194" s="17"/>
      <c r="T194" s="17"/>
      <c r="U194" s="17"/>
      <c r="V194" s="17"/>
      <c r="W194" s="17"/>
      <c r="X194" s="17"/>
      <c r="Y194" s="17"/>
      <c r="Z194" s="17" t="n">
        <v>100</v>
      </c>
      <c r="AA194" s="82"/>
      <c r="AB194" s="17" t="n">
        <v>50</v>
      </c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9" t="s">
        <v>1518</v>
      </c>
      <c r="AR194" s="17" t="s">
        <v>155</v>
      </c>
      <c r="AS194" s="20" t="n">
        <f aca="false">AVERAGE(AV194,BB194,BH194)</f>
        <v>2.48146666666667</v>
      </c>
      <c r="AT194" s="21" t="n">
        <f aca="false">(AS194*1.3)</f>
        <v>3.22590666666667</v>
      </c>
      <c r="AU194" s="7" t="s">
        <v>128</v>
      </c>
      <c r="AV194" s="20" t="n">
        <f aca="false">60.11 /25</f>
        <v>2.4044</v>
      </c>
      <c r="AW194" s="16" t="s">
        <v>1519</v>
      </c>
      <c r="AX194" s="17" t="s">
        <v>130</v>
      </c>
      <c r="AY194" s="17" t="s">
        <v>98</v>
      </c>
      <c r="AZ194" s="25" t="n">
        <v>45000</v>
      </c>
      <c r="BA194" s="10" t="s">
        <v>132</v>
      </c>
      <c r="BB194" s="20" t="n">
        <f aca="false">60/25</f>
        <v>2.4</v>
      </c>
      <c r="BC194" s="16" t="s">
        <v>1520</v>
      </c>
      <c r="BD194" s="17" t="s">
        <v>134</v>
      </c>
      <c r="BE194" s="17" t="s">
        <v>289</v>
      </c>
      <c r="BF194" s="25" t="n">
        <v>45000</v>
      </c>
      <c r="BG194" s="56" t="s">
        <v>107</v>
      </c>
      <c r="BH194" s="20" t="n">
        <f aca="false">66/25</f>
        <v>2.64</v>
      </c>
      <c r="BI194" s="23" t="s">
        <v>1521</v>
      </c>
      <c r="BJ194" s="45" t="s">
        <v>109</v>
      </c>
      <c r="BK194" s="17" t="s">
        <v>110</v>
      </c>
      <c r="BL194" s="25" t="n">
        <v>45000</v>
      </c>
    </row>
    <row r="195" customFormat="false" ht="406.5" hidden="false" customHeight="false" outlineLevel="0" collapsed="false">
      <c r="A195" s="28" t="s">
        <v>40</v>
      </c>
      <c r="B195" s="28" t="s">
        <v>1522</v>
      </c>
      <c r="C195" s="29" t="s">
        <v>1523</v>
      </c>
      <c r="D195" s="30" t="s">
        <v>65</v>
      </c>
      <c r="E195" s="30" t="s">
        <v>66</v>
      </c>
      <c r="F195" s="30" t="n">
        <v>200</v>
      </c>
      <c r="G195" s="30" t="n">
        <v>200</v>
      </c>
      <c r="H195" s="31" t="n">
        <v>1.44</v>
      </c>
      <c r="I195" s="31" t="n">
        <v>288</v>
      </c>
      <c r="J195" s="38" t="s">
        <v>1524</v>
      </c>
      <c r="K195" s="49" t="n">
        <v>194</v>
      </c>
      <c r="L195" s="33" t="s">
        <v>68</v>
      </c>
      <c r="M195" s="33" t="n">
        <v>21000000349</v>
      </c>
      <c r="N195" s="34" t="s">
        <v>1525</v>
      </c>
      <c r="O195" s="33" t="s">
        <v>70</v>
      </c>
      <c r="P195" s="33" t="n">
        <f aca="false">SUM(R195:AP195)</f>
        <v>200</v>
      </c>
      <c r="Q195" s="33" t="s">
        <v>71</v>
      </c>
      <c r="R195" s="33"/>
      <c r="S195" s="33"/>
      <c r="T195" s="33"/>
      <c r="U195" s="33"/>
      <c r="V195" s="33"/>
      <c r="W195" s="33"/>
      <c r="X195" s="33"/>
      <c r="Y195" s="33"/>
      <c r="Z195" s="33"/>
      <c r="AA195" s="7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 t="n">
        <v>200</v>
      </c>
      <c r="AP195" s="33"/>
      <c r="AQ195" s="35" t="s">
        <v>1525</v>
      </c>
      <c r="AR195" s="33" t="s">
        <v>155</v>
      </c>
      <c r="AS195" s="36" t="n">
        <f aca="false">AVERAGE(AV195,BB195,BH195)</f>
        <v>0.7236</v>
      </c>
      <c r="AT195" s="21" t="n">
        <f aca="false">(AS195*1.3)</f>
        <v>0.94068</v>
      </c>
      <c r="AU195" s="48" t="s">
        <v>107</v>
      </c>
      <c r="AV195" s="36" t="n">
        <f aca="false">72.42 /100</f>
        <v>0.7242</v>
      </c>
      <c r="AW195" s="32" t="s">
        <v>1526</v>
      </c>
      <c r="AX195" s="49" t="s">
        <v>109</v>
      </c>
      <c r="AY195" s="33" t="s">
        <v>110</v>
      </c>
      <c r="AZ195" s="40" t="n">
        <v>45000</v>
      </c>
      <c r="BA195" s="10" t="s">
        <v>128</v>
      </c>
      <c r="BB195" s="36" t="n">
        <f aca="false">76.99 /100</f>
        <v>0.7699</v>
      </c>
      <c r="BC195" s="38" t="s">
        <v>1527</v>
      </c>
      <c r="BD195" s="33" t="s">
        <v>130</v>
      </c>
      <c r="BE195" s="33" t="s">
        <v>131</v>
      </c>
      <c r="BF195" s="40" t="n">
        <v>45000</v>
      </c>
      <c r="BG195" s="56" t="s">
        <v>157</v>
      </c>
      <c r="BH195" s="36" t="n">
        <f aca="false">67.67/100</f>
        <v>0.6767</v>
      </c>
      <c r="BI195" s="38" t="s">
        <v>1528</v>
      </c>
      <c r="BJ195" s="49" t="s">
        <v>159</v>
      </c>
      <c r="BK195" s="33" t="s">
        <v>76</v>
      </c>
      <c r="BL195" s="40" t="n">
        <v>45000</v>
      </c>
    </row>
    <row r="196" customFormat="false" ht="294" hidden="false" customHeight="false" outlineLevel="0" collapsed="false">
      <c r="A196" s="12" t="s">
        <v>18</v>
      </c>
      <c r="B196" s="12" t="s">
        <v>1529</v>
      </c>
      <c r="C196" s="13" t="s">
        <v>1530</v>
      </c>
      <c r="D196" s="14" t="s">
        <v>65</v>
      </c>
      <c r="E196" s="14" t="s">
        <v>66</v>
      </c>
      <c r="F196" s="14" t="n">
        <v>4</v>
      </c>
      <c r="G196" s="14" t="n">
        <v>4</v>
      </c>
      <c r="H196" s="15" t="n">
        <v>62.11</v>
      </c>
      <c r="I196" s="15" t="n">
        <v>248.44</v>
      </c>
      <c r="J196" s="23" t="s">
        <v>1531</v>
      </c>
      <c r="K196" s="45" t="n">
        <v>195</v>
      </c>
      <c r="L196" s="17" t="s">
        <v>68</v>
      </c>
      <c r="M196" s="17" t="n">
        <v>21000000249</v>
      </c>
      <c r="N196" s="18" t="s">
        <v>1532</v>
      </c>
      <c r="O196" s="17" t="s">
        <v>200</v>
      </c>
      <c r="P196" s="17" t="n">
        <f aca="false">SUM(R196:AP196)</f>
        <v>41</v>
      </c>
      <c r="Q196" s="17" t="s">
        <v>71</v>
      </c>
      <c r="R196" s="17"/>
      <c r="S196" s="17" t="n">
        <v>4</v>
      </c>
      <c r="T196" s="17"/>
      <c r="U196" s="17"/>
      <c r="V196" s="17" t="n">
        <v>7</v>
      </c>
      <c r="W196" s="17" t="n">
        <v>21</v>
      </c>
      <c r="X196" s="17"/>
      <c r="Y196" s="17"/>
      <c r="Z196" s="17"/>
      <c r="AA196" s="17"/>
      <c r="AB196" s="17" t="n">
        <v>2</v>
      </c>
      <c r="AC196" s="17"/>
      <c r="AD196" s="17"/>
      <c r="AE196" s="17"/>
      <c r="AF196" s="17"/>
      <c r="AG196" s="17"/>
      <c r="AH196" s="17"/>
      <c r="AI196" s="14"/>
      <c r="AJ196" s="17"/>
      <c r="AK196" s="17"/>
      <c r="AL196" s="17" t="n">
        <v>7</v>
      </c>
      <c r="AM196" s="17"/>
      <c r="AN196" s="17"/>
      <c r="AO196" s="17"/>
      <c r="AP196" s="17"/>
      <c r="AQ196" s="19" t="s">
        <v>1532</v>
      </c>
      <c r="AR196" s="17" t="s">
        <v>155</v>
      </c>
      <c r="AS196" s="20" t="n">
        <f aca="false">AVERAGE(AV196,BB196,BH196)</f>
        <v>67.2</v>
      </c>
      <c r="AT196" s="21" t="n">
        <f aca="false">(AS196*1.3)</f>
        <v>87.36</v>
      </c>
      <c r="AU196" s="48" t="s">
        <v>104</v>
      </c>
      <c r="AV196" s="20" t="n">
        <v>61.6</v>
      </c>
      <c r="AW196" s="23" t="s">
        <v>1533</v>
      </c>
      <c r="AX196" s="45" t="s">
        <v>420</v>
      </c>
      <c r="AY196" s="17" t="s">
        <v>639</v>
      </c>
      <c r="AZ196" s="25" t="n">
        <v>45000</v>
      </c>
      <c r="BA196" s="44" t="s">
        <v>157</v>
      </c>
      <c r="BB196" s="20" t="n">
        <v>70</v>
      </c>
      <c r="BC196" s="23" t="s">
        <v>1534</v>
      </c>
      <c r="BD196" s="45" t="s">
        <v>159</v>
      </c>
      <c r="BE196" s="17" t="s">
        <v>76</v>
      </c>
      <c r="BF196" s="25" t="n">
        <v>45000</v>
      </c>
      <c r="BG196" s="56" t="s">
        <v>175</v>
      </c>
      <c r="BH196" s="20" t="n">
        <v>70</v>
      </c>
      <c r="BI196" s="16" t="s">
        <v>1535</v>
      </c>
      <c r="BJ196" s="45" t="s">
        <v>587</v>
      </c>
      <c r="BK196" s="17" t="s">
        <v>639</v>
      </c>
      <c r="BL196" s="25" t="n">
        <v>45000</v>
      </c>
    </row>
    <row r="197" customFormat="false" ht="395.25" hidden="false" customHeight="false" outlineLevel="0" collapsed="false">
      <c r="A197" s="28" t="s">
        <v>26</v>
      </c>
      <c r="B197" s="28" t="s">
        <v>1536</v>
      </c>
      <c r="C197" s="29" t="s">
        <v>1537</v>
      </c>
      <c r="D197" s="30" t="s">
        <v>65</v>
      </c>
      <c r="E197" s="30" t="s">
        <v>66</v>
      </c>
      <c r="F197" s="30" t="n">
        <v>2</v>
      </c>
      <c r="G197" s="30" t="n">
        <v>1000</v>
      </c>
      <c r="H197" s="31" t="n">
        <v>90</v>
      </c>
      <c r="I197" s="31" t="n">
        <v>180</v>
      </c>
      <c r="J197" s="32" t="s">
        <v>1538</v>
      </c>
      <c r="K197" s="49" t="n">
        <v>196</v>
      </c>
      <c r="L197" s="33" t="s">
        <v>68</v>
      </c>
      <c r="M197" s="33" t="n">
        <v>21000000247</v>
      </c>
      <c r="N197" s="34" t="s">
        <v>1539</v>
      </c>
      <c r="O197" s="33" t="s">
        <v>1540</v>
      </c>
      <c r="P197" s="33" t="n">
        <f aca="false">SUM(R197:AP197)</f>
        <v>1000</v>
      </c>
      <c r="Q197" s="33" t="s">
        <v>71</v>
      </c>
      <c r="R197" s="33"/>
      <c r="S197" s="33"/>
      <c r="T197" s="33"/>
      <c r="U197" s="33"/>
      <c r="V197" s="33"/>
      <c r="W197" s="33"/>
      <c r="X197" s="33"/>
      <c r="Y197" s="33"/>
      <c r="Z197" s="33"/>
      <c r="AA197" s="33" t="n">
        <v>1000</v>
      </c>
      <c r="AB197" s="33"/>
      <c r="AC197" s="33"/>
      <c r="AD197" s="33"/>
      <c r="AE197" s="33"/>
      <c r="AF197" s="33"/>
      <c r="AG197" s="33"/>
      <c r="AH197" s="33"/>
      <c r="AI197" s="30"/>
      <c r="AJ197" s="33"/>
      <c r="AK197" s="33"/>
      <c r="AL197" s="33"/>
      <c r="AM197" s="33"/>
      <c r="AN197" s="33"/>
      <c r="AO197" s="33"/>
      <c r="AP197" s="33"/>
      <c r="AQ197" s="35" t="s">
        <v>1539</v>
      </c>
      <c r="AR197" s="33" t="s">
        <v>155</v>
      </c>
      <c r="AS197" s="36" t="n">
        <f aca="false">AVERAGE(AV197,BB197,BH197)</f>
        <v>0.149086666666667</v>
      </c>
      <c r="AT197" s="21" t="n">
        <f aca="false">(AS197*1.3)</f>
        <v>0.193812666666667</v>
      </c>
      <c r="AU197" s="48" t="s">
        <v>157</v>
      </c>
      <c r="AV197" s="36" t="n">
        <f aca="false">75 /500</f>
        <v>0.15</v>
      </c>
      <c r="AW197" s="38" t="s">
        <v>1541</v>
      </c>
      <c r="AX197" s="49" t="s">
        <v>159</v>
      </c>
      <c r="AY197" s="33" t="s">
        <v>289</v>
      </c>
      <c r="AZ197" s="40" t="n">
        <v>45000</v>
      </c>
      <c r="BA197" s="44" t="s">
        <v>555</v>
      </c>
      <c r="BB197" s="36" t="n">
        <f aca="false">81 /500</f>
        <v>0.162</v>
      </c>
      <c r="BC197" s="38" t="s">
        <v>1542</v>
      </c>
      <c r="BD197" s="49" t="s">
        <v>503</v>
      </c>
      <c r="BE197" s="33" t="s">
        <v>289</v>
      </c>
      <c r="BF197" s="40" t="n">
        <v>45000</v>
      </c>
      <c r="BG197" s="56" t="s">
        <v>128</v>
      </c>
      <c r="BH197" s="36" t="n">
        <f aca="false">67.63 /500</f>
        <v>0.13526</v>
      </c>
      <c r="BI197" s="32" t="s">
        <v>1543</v>
      </c>
      <c r="BJ197" s="49" t="s">
        <v>411</v>
      </c>
      <c r="BK197" s="33" t="s">
        <v>519</v>
      </c>
      <c r="BL197" s="40" t="n">
        <v>45000</v>
      </c>
    </row>
    <row r="198" customFormat="false" ht="147.75" hidden="false" customHeight="false" outlineLevel="0" collapsed="false">
      <c r="A198" s="12" t="s">
        <v>32</v>
      </c>
      <c r="B198" s="12" t="s">
        <v>1544</v>
      </c>
      <c r="C198" s="13" t="n">
        <v>327373</v>
      </c>
      <c r="D198" s="14" t="s">
        <v>65</v>
      </c>
      <c r="E198" s="14" t="s">
        <v>66</v>
      </c>
      <c r="F198" s="14" t="n">
        <v>2</v>
      </c>
      <c r="G198" s="14" t="n">
        <v>5</v>
      </c>
      <c r="H198" s="15" t="n">
        <v>42.3</v>
      </c>
      <c r="I198" s="15" t="n">
        <v>84.6</v>
      </c>
      <c r="J198" s="16" t="s">
        <v>1545</v>
      </c>
      <c r="K198" s="45" t="n">
        <v>197</v>
      </c>
      <c r="L198" s="17" t="s">
        <v>68</v>
      </c>
      <c r="M198" s="17" t="n">
        <v>21000000575</v>
      </c>
      <c r="N198" s="18" t="s">
        <v>1546</v>
      </c>
      <c r="O198" s="17" t="s">
        <v>200</v>
      </c>
      <c r="P198" s="17" t="n">
        <f aca="false">SUM(R198:AP198)</f>
        <v>5</v>
      </c>
      <c r="Q198" s="17" t="s">
        <v>71</v>
      </c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 t="n">
        <v>5</v>
      </c>
      <c r="AH198" s="17"/>
      <c r="AI198" s="17"/>
      <c r="AJ198" s="17"/>
      <c r="AK198" s="17"/>
      <c r="AL198" s="17"/>
      <c r="AM198" s="17"/>
      <c r="AN198" s="17"/>
      <c r="AO198" s="17"/>
      <c r="AP198" s="17"/>
      <c r="AQ198" s="19" t="s">
        <v>1546</v>
      </c>
      <c r="AR198" s="17" t="s">
        <v>294</v>
      </c>
      <c r="AS198" s="20" t="n">
        <f aca="false">AVERAGE(AV198,BB198,BH198)</f>
        <v>14.9273333333333</v>
      </c>
      <c r="AT198" s="20" t="n">
        <f aca="false">(AS198*1.3)</f>
        <v>19.4055333333333</v>
      </c>
      <c r="AU198" s="17" t="s">
        <v>128</v>
      </c>
      <c r="AV198" s="20" t="n">
        <f aca="false">88.07/5</f>
        <v>17.614</v>
      </c>
      <c r="AW198" s="23" t="s">
        <v>1547</v>
      </c>
      <c r="AX198" s="17" t="s">
        <v>544</v>
      </c>
      <c r="AY198" s="17" t="s">
        <v>131</v>
      </c>
      <c r="AZ198" s="25" t="n">
        <v>44995</v>
      </c>
      <c r="BA198" s="17" t="s">
        <v>128</v>
      </c>
      <c r="BB198" s="20" t="n">
        <f aca="false">380.48/25</f>
        <v>15.2192</v>
      </c>
      <c r="BC198" s="23" t="s">
        <v>1548</v>
      </c>
      <c r="BD198" s="17" t="s">
        <v>1549</v>
      </c>
      <c r="BE198" s="17" t="s">
        <v>639</v>
      </c>
      <c r="BF198" s="25" t="n">
        <v>44995</v>
      </c>
      <c r="BG198" s="17" t="s">
        <v>107</v>
      </c>
      <c r="BH198" s="20" t="n">
        <f aca="false">298.72 /25</f>
        <v>11.9488</v>
      </c>
      <c r="BI198" s="23" t="s">
        <v>1550</v>
      </c>
      <c r="BJ198" s="17" t="s">
        <v>506</v>
      </c>
      <c r="BK198" s="17" t="s">
        <v>110</v>
      </c>
      <c r="BL198" s="25" t="n">
        <v>44995</v>
      </c>
    </row>
    <row r="199" customFormat="false" ht="159" hidden="false" customHeight="false" outlineLevel="0" collapsed="false">
      <c r="A199" s="28" t="s">
        <v>22</v>
      </c>
      <c r="B199" s="28" t="s">
        <v>1551</v>
      </c>
      <c r="C199" s="29" t="s">
        <v>1552</v>
      </c>
      <c r="D199" s="30" t="s">
        <v>65</v>
      </c>
      <c r="E199" s="30" t="s">
        <v>66</v>
      </c>
      <c r="F199" s="30" t="n">
        <v>4</v>
      </c>
      <c r="G199" s="30" t="n">
        <v>4</v>
      </c>
      <c r="H199" s="31" t="n">
        <v>25.67</v>
      </c>
      <c r="I199" s="31" t="n">
        <v>102.68</v>
      </c>
      <c r="J199" s="32" t="s">
        <v>1553</v>
      </c>
      <c r="K199" s="49" t="n">
        <v>198</v>
      </c>
      <c r="L199" s="33" t="s">
        <v>68</v>
      </c>
      <c r="M199" s="33" t="n">
        <v>21000000283</v>
      </c>
      <c r="N199" s="34" t="s">
        <v>1554</v>
      </c>
      <c r="O199" s="33" t="s">
        <v>200</v>
      </c>
      <c r="P199" s="33" t="n">
        <f aca="false">SUM(R199:AP199)</f>
        <v>7</v>
      </c>
      <c r="Q199" s="33" t="s">
        <v>71</v>
      </c>
      <c r="R199" s="33"/>
      <c r="S199" s="33"/>
      <c r="T199" s="33"/>
      <c r="U199" s="33"/>
      <c r="V199" s="33"/>
      <c r="W199" s="33" t="n">
        <v>4</v>
      </c>
      <c r="X199" s="33"/>
      <c r="Y199" s="33"/>
      <c r="Z199" s="33"/>
      <c r="AA199" s="73" t="n">
        <v>1</v>
      </c>
      <c r="AB199" s="33"/>
      <c r="AC199" s="33"/>
      <c r="AD199" s="33"/>
      <c r="AE199" s="33"/>
      <c r="AF199" s="33"/>
      <c r="AG199" s="33"/>
      <c r="AH199" s="33"/>
      <c r="AI199" s="33" t="n">
        <v>2</v>
      </c>
      <c r="AJ199" s="33"/>
      <c r="AK199" s="33"/>
      <c r="AL199" s="33"/>
      <c r="AM199" s="33"/>
      <c r="AN199" s="33"/>
      <c r="AO199" s="33"/>
      <c r="AP199" s="33"/>
      <c r="AQ199" s="35" t="s">
        <v>1554</v>
      </c>
      <c r="AR199" s="33" t="s">
        <v>155</v>
      </c>
      <c r="AS199" s="36" t="n">
        <f aca="false">AVERAGE(AV199,BB199,BH199)</f>
        <v>41.54</v>
      </c>
      <c r="AT199" s="21" t="n">
        <f aca="false">(AS199*1.3)</f>
        <v>54.002</v>
      </c>
      <c r="AU199" s="48" t="s">
        <v>287</v>
      </c>
      <c r="AV199" s="36" t="n">
        <v>50</v>
      </c>
      <c r="AW199" s="32" t="s">
        <v>1555</v>
      </c>
      <c r="AX199" s="49" t="s">
        <v>134</v>
      </c>
      <c r="AY199" s="33" t="s">
        <v>289</v>
      </c>
      <c r="AZ199" s="40" t="n">
        <v>45000</v>
      </c>
      <c r="BA199" s="44" t="s">
        <v>104</v>
      </c>
      <c r="BB199" s="36" t="n">
        <v>40</v>
      </c>
      <c r="BC199" s="38" t="s">
        <v>1556</v>
      </c>
      <c r="BD199" s="49" t="s">
        <v>420</v>
      </c>
      <c r="BE199" s="33" t="s">
        <v>289</v>
      </c>
      <c r="BF199" s="40" t="n">
        <v>45000</v>
      </c>
      <c r="BG199" s="56" t="s">
        <v>87</v>
      </c>
      <c r="BH199" s="36" t="n">
        <v>34.62</v>
      </c>
      <c r="BI199" s="38" t="s">
        <v>1557</v>
      </c>
      <c r="BJ199" s="49" t="s">
        <v>610</v>
      </c>
      <c r="BK199" s="33" t="s">
        <v>1558</v>
      </c>
      <c r="BL199" s="40" t="n">
        <v>45000</v>
      </c>
    </row>
    <row r="200" customFormat="false" ht="136.5" hidden="false" customHeight="false" outlineLevel="0" collapsed="false">
      <c r="A200" s="12" t="s">
        <v>34</v>
      </c>
      <c r="B200" s="18" t="s">
        <v>1559</v>
      </c>
      <c r="C200" s="13" t="s">
        <v>1560</v>
      </c>
      <c r="D200" s="14" t="s">
        <v>65</v>
      </c>
      <c r="E200" s="14" t="s">
        <v>66</v>
      </c>
      <c r="F200" s="14" t="n">
        <v>1</v>
      </c>
      <c r="G200" s="14" t="n">
        <v>2</v>
      </c>
      <c r="H200" s="15" t="n">
        <v>19</v>
      </c>
      <c r="I200" s="15" t="n">
        <v>38</v>
      </c>
      <c r="J200" s="23" t="s">
        <v>1561</v>
      </c>
      <c r="K200" s="45" t="n">
        <v>199</v>
      </c>
      <c r="L200" s="17" t="s">
        <v>68</v>
      </c>
      <c r="M200" s="17" t="n">
        <v>21000000284</v>
      </c>
      <c r="N200" s="18" t="s">
        <v>1562</v>
      </c>
      <c r="O200" s="17" t="s">
        <v>200</v>
      </c>
      <c r="P200" s="17" t="n">
        <f aca="false">SUM(R200:AP200)</f>
        <v>2</v>
      </c>
      <c r="Q200" s="17" t="s">
        <v>71</v>
      </c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 t="n">
        <v>2</v>
      </c>
      <c r="AJ200" s="17"/>
      <c r="AK200" s="17"/>
      <c r="AL200" s="17"/>
      <c r="AM200" s="17"/>
      <c r="AN200" s="17"/>
      <c r="AO200" s="17"/>
      <c r="AP200" s="17"/>
      <c r="AQ200" s="19" t="s">
        <v>1562</v>
      </c>
      <c r="AR200" s="17" t="s">
        <v>155</v>
      </c>
      <c r="AS200" s="20" t="n">
        <f aca="false">AVERAGE(AV200,BB200,BH200)</f>
        <v>28.58</v>
      </c>
      <c r="AT200" s="21" t="n">
        <f aca="false">(AS200*1.3)</f>
        <v>37.154</v>
      </c>
      <c r="AU200" s="48" t="s">
        <v>128</v>
      </c>
      <c r="AV200" s="20" t="n">
        <v>22.21</v>
      </c>
      <c r="AW200" s="16" t="s">
        <v>1563</v>
      </c>
      <c r="AX200" s="45" t="s">
        <v>130</v>
      </c>
      <c r="AY200" s="17" t="s">
        <v>131</v>
      </c>
      <c r="AZ200" s="25" t="n">
        <v>45000</v>
      </c>
      <c r="BA200" s="44" t="s">
        <v>107</v>
      </c>
      <c r="BB200" s="20" t="n">
        <v>21.86</v>
      </c>
      <c r="BC200" s="23" t="s">
        <v>1564</v>
      </c>
      <c r="BD200" s="45" t="s">
        <v>109</v>
      </c>
      <c r="BE200" s="17" t="s">
        <v>110</v>
      </c>
      <c r="BF200" s="25" t="n">
        <v>45000</v>
      </c>
      <c r="BG200" s="56" t="s">
        <v>157</v>
      </c>
      <c r="BH200" s="20" t="n">
        <v>41.67</v>
      </c>
      <c r="BI200" s="16" t="s">
        <v>1565</v>
      </c>
      <c r="BJ200" s="45" t="s">
        <v>159</v>
      </c>
      <c r="BK200" s="17" t="s">
        <v>289</v>
      </c>
      <c r="BL200" s="25" t="n">
        <v>45000</v>
      </c>
    </row>
    <row r="201" customFormat="false" ht="136.5" hidden="false" customHeight="false" outlineLevel="0" collapsed="false">
      <c r="A201" s="28" t="s">
        <v>26</v>
      </c>
      <c r="B201" s="34" t="s">
        <v>1566</v>
      </c>
      <c r="C201" s="29" t="s">
        <v>1567</v>
      </c>
      <c r="D201" s="30" t="s">
        <v>65</v>
      </c>
      <c r="E201" s="30" t="s">
        <v>66</v>
      </c>
      <c r="F201" s="30" t="n">
        <v>1</v>
      </c>
      <c r="G201" s="30" t="n">
        <v>1</v>
      </c>
      <c r="H201" s="31" t="n">
        <v>21.05</v>
      </c>
      <c r="I201" s="31" t="n">
        <v>21.05</v>
      </c>
      <c r="J201" s="38" t="s">
        <v>1568</v>
      </c>
      <c r="K201" s="49" t="n">
        <v>200</v>
      </c>
      <c r="L201" s="33" t="s">
        <v>68</v>
      </c>
      <c r="M201" s="33" t="n">
        <v>21000000285</v>
      </c>
      <c r="N201" s="34" t="s">
        <v>1569</v>
      </c>
      <c r="O201" s="33" t="s">
        <v>200</v>
      </c>
      <c r="P201" s="33" t="n">
        <f aca="false">SUM(R201:AP201)</f>
        <v>4</v>
      </c>
      <c r="Q201" s="33" t="s">
        <v>71</v>
      </c>
      <c r="R201" s="33"/>
      <c r="S201" s="33" t="n">
        <v>1</v>
      </c>
      <c r="T201" s="33"/>
      <c r="U201" s="33"/>
      <c r="V201" s="33"/>
      <c r="W201" s="33"/>
      <c r="X201" s="33"/>
      <c r="Y201" s="33"/>
      <c r="Z201" s="33"/>
      <c r="AA201" s="73" t="n">
        <v>1</v>
      </c>
      <c r="AB201" s="33"/>
      <c r="AC201" s="33"/>
      <c r="AD201" s="33"/>
      <c r="AE201" s="33"/>
      <c r="AF201" s="33"/>
      <c r="AG201" s="33"/>
      <c r="AH201" s="33"/>
      <c r="AI201" s="33" t="n">
        <v>2</v>
      </c>
      <c r="AJ201" s="33"/>
      <c r="AK201" s="33"/>
      <c r="AL201" s="33"/>
      <c r="AM201" s="33"/>
      <c r="AN201" s="33"/>
      <c r="AO201" s="33"/>
      <c r="AP201" s="33"/>
      <c r="AQ201" s="35" t="s">
        <v>1569</v>
      </c>
      <c r="AR201" s="33" t="s">
        <v>155</v>
      </c>
      <c r="AS201" s="36" t="n">
        <f aca="false">AVERAGE(AV201,BB201,BH201)</f>
        <v>18.22</v>
      </c>
      <c r="AT201" s="21" t="n">
        <f aca="false">(AS201*1.3)</f>
        <v>23.686</v>
      </c>
      <c r="AU201" s="48" t="s">
        <v>803</v>
      </c>
      <c r="AV201" s="36" t="n">
        <v>16.2</v>
      </c>
      <c r="AW201" s="32" t="s">
        <v>1570</v>
      </c>
      <c r="AX201" s="49" t="s">
        <v>805</v>
      </c>
      <c r="AY201" s="33" t="s">
        <v>519</v>
      </c>
      <c r="AZ201" s="40" t="n">
        <v>45000</v>
      </c>
      <c r="BA201" s="44" t="s">
        <v>107</v>
      </c>
      <c r="BB201" s="36" t="n">
        <v>16.46</v>
      </c>
      <c r="BC201" s="38" t="s">
        <v>1571</v>
      </c>
      <c r="BD201" s="49" t="s">
        <v>109</v>
      </c>
      <c r="BE201" s="33" t="s">
        <v>110</v>
      </c>
      <c r="BF201" s="40" t="n">
        <v>45000</v>
      </c>
      <c r="BG201" s="56" t="s">
        <v>839</v>
      </c>
      <c r="BH201" s="36" t="n">
        <v>22</v>
      </c>
      <c r="BI201" s="38" t="s">
        <v>1572</v>
      </c>
      <c r="BJ201" s="49" t="s">
        <v>841</v>
      </c>
      <c r="BK201" s="33" t="s">
        <v>289</v>
      </c>
      <c r="BL201" s="40" t="n">
        <v>45000</v>
      </c>
    </row>
    <row r="202" customFormat="false" ht="147.75" hidden="false" customHeight="false" outlineLevel="0" collapsed="false">
      <c r="A202" s="12" t="s">
        <v>18</v>
      </c>
      <c r="B202" s="18" t="s">
        <v>1573</v>
      </c>
      <c r="C202" s="13" t="s">
        <v>1574</v>
      </c>
      <c r="D202" s="14" t="s">
        <v>65</v>
      </c>
      <c r="E202" s="14" t="s">
        <v>66</v>
      </c>
      <c r="F202" s="14" t="n">
        <v>1</v>
      </c>
      <c r="G202" s="14" t="n">
        <v>1</v>
      </c>
      <c r="H202" s="15" t="n">
        <v>26.35</v>
      </c>
      <c r="I202" s="15" t="n">
        <v>26.35</v>
      </c>
      <c r="J202" s="23" t="s">
        <v>1575</v>
      </c>
      <c r="K202" s="45" t="n">
        <v>201</v>
      </c>
      <c r="L202" s="17" t="s">
        <v>68</v>
      </c>
      <c r="M202" s="17" t="n">
        <v>21000000241</v>
      </c>
      <c r="N202" s="18" t="s">
        <v>1576</v>
      </c>
      <c r="O202" s="17" t="s">
        <v>200</v>
      </c>
      <c r="P202" s="17" t="n">
        <f aca="false">SUM(R202:AP202)</f>
        <v>4</v>
      </c>
      <c r="Q202" s="17" t="s">
        <v>71</v>
      </c>
      <c r="R202" s="17"/>
      <c r="S202" s="17" t="n">
        <v>1</v>
      </c>
      <c r="T202" s="17"/>
      <c r="U202" s="17"/>
      <c r="V202" s="17"/>
      <c r="W202" s="17"/>
      <c r="X202" s="17"/>
      <c r="Y202" s="17"/>
      <c r="Z202" s="17"/>
      <c r="AA202" s="17" t="n">
        <v>1</v>
      </c>
      <c r="AB202" s="17"/>
      <c r="AC202" s="17"/>
      <c r="AD202" s="17"/>
      <c r="AE202" s="17"/>
      <c r="AF202" s="17"/>
      <c r="AG202" s="17"/>
      <c r="AH202" s="17"/>
      <c r="AI202" s="17" t="n">
        <v>2</v>
      </c>
      <c r="AJ202" s="17"/>
      <c r="AK202" s="17"/>
      <c r="AL202" s="17"/>
      <c r="AM202" s="17"/>
      <c r="AN202" s="17"/>
      <c r="AO202" s="17"/>
      <c r="AP202" s="17"/>
      <c r="AQ202" s="19" t="s">
        <v>1576</v>
      </c>
      <c r="AR202" s="17" t="s">
        <v>72</v>
      </c>
      <c r="AS202" s="20" t="n">
        <f aca="false">AVERAGE(AV202,BB202,BH202)</f>
        <v>36.3066666666667</v>
      </c>
      <c r="AT202" s="21" t="n">
        <f aca="false">(AS202*1.3)</f>
        <v>47.1986666666667</v>
      </c>
      <c r="AU202" s="48" t="s">
        <v>287</v>
      </c>
      <c r="AV202" s="20" t="n">
        <v>30</v>
      </c>
      <c r="AW202" s="23" t="s">
        <v>1577</v>
      </c>
      <c r="AX202" s="45" t="s">
        <v>134</v>
      </c>
      <c r="AY202" s="17" t="s">
        <v>94</v>
      </c>
      <c r="AZ202" s="25" t="n">
        <v>45000</v>
      </c>
      <c r="BA202" s="44" t="s">
        <v>87</v>
      </c>
      <c r="BB202" s="20" t="n">
        <v>34.62</v>
      </c>
      <c r="BC202" s="23" t="s">
        <v>1578</v>
      </c>
      <c r="BD202" s="45" t="s">
        <v>610</v>
      </c>
      <c r="BE202" s="17" t="s">
        <v>90</v>
      </c>
      <c r="BF202" s="25" t="n">
        <v>45000</v>
      </c>
      <c r="BG202" s="56" t="s">
        <v>104</v>
      </c>
      <c r="BH202" s="20" t="n">
        <v>44.3</v>
      </c>
      <c r="BI202" s="23" t="s">
        <v>1579</v>
      </c>
      <c r="BJ202" s="45" t="s">
        <v>420</v>
      </c>
      <c r="BK202" s="17" t="s">
        <v>90</v>
      </c>
      <c r="BL202" s="25" t="n">
        <v>45000</v>
      </c>
    </row>
    <row r="203" customFormat="false" ht="125.25" hidden="false" customHeight="false" outlineLevel="0" collapsed="false">
      <c r="A203" s="28" t="s">
        <v>34</v>
      </c>
      <c r="B203" s="34" t="s">
        <v>1580</v>
      </c>
      <c r="C203" s="29" t="s">
        <v>1581</v>
      </c>
      <c r="D203" s="30" t="s">
        <v>65</v>
      </c>
      <c r="E203" s="30" t="s">
        <v>66</v>
      </c>
      <c r="F203" s="30" t="n">
        <v>1</v>
      </c>
      <c r="G203" s="30" t="n">
        <v>1</v>
      </c>
      <c r="H203" s="31" t="n">
        <v>60</v>
      </c>
      <c r="I203" s="31" t="n">
        <v>60</v>
      </c>
      <c r="J203" s="38" t="s">
        <v>1582</v>
      </c>
      <c r="K203" s="49" t="n">
        <v>202</v>
      </c>
      <c r="L203" s="33" t="s">
        <v>68</v>
      </c>
      <c r="M203" s="33" t="n">
        <v>21000000504</v>
      </c>
      <c r="N203" s="34" t="s">
        <v>1583</v>
      </c>
      <c r="O203" s="33" t="s">
        <v>200</v>
      </c>
      <c r="P203" s="33" t="n">
        <f aca="false">SUM(R203:AP203)</f>
        <v>1</v>
      </c>
      <c r="Q203" s="33" t="s">
        <v>71</v>
      </c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 t="n">
        <v>1</v>
      </c>
      <c r="AJ203" s="33"/>
      <c r="AK203" s="33"/>
      <c r="AL203" s="33"/>
      <c r="AM203" s="33"/>
      <c r="AN203" s="33"/>
      <c r="AO203" s="33"/>
      <c r="AP203" s="33"/>
      <c r="AQ203" s="35" t="s">
        <v>1583</v>
      </c>
      <c r="AR203" s="33" t="s">
        <v>72</v>
      </c>
      <c r="AS203" s="36" t="n">
        <f aca="false">AVERAGE(AV203,BB203,BH203)</f>
        <v>57.3233333333333</v>
      </c>
      <c r="AT203" s="21" t="n">
        <f aca="false">(AS203*1.3)</f>
        <v>74.5203333333333</v>
      </c>
      <c r="AU203" s="48" t="s">
        <v>128</v>
      </c>
      <c r="AV203" s="36" t="n">
        <v>42.26</v>
      </c>
      <c r="AW203" s="38" t="s">
        <v>1584</v>
      </c>
      <c r="AX203" s="49" t="s">
        <v>130</v>
      </c>
      <c r="AY203" s="33" t="s">
        <v>1018</v>
      </c>
      <c r="AZ203" s="40" t="n">
        <v>45000</v>
      </c>
      <c r="BA203" s="44" t="s">
        <v>287</v>
      </c>
      <c r="BB203" s="36" t="n">
        <v>80</v>
      </c>
      <c r="BC203" s="38" t="s">
        <v>1585</v>
      </c>
      <c r="BD203" s="49" t="s">
        <v>134</v>
      </c>
      <c r="BE203" s="33" t="s">
        <v>94</v>
      </c>
      <c r="BF203" s="40" t="n">
        <v>45000</v>
      </c>
      <c r="BG203" s="56" t="s">
        <v>107</v>
      </c>
      <c r="BH203" s="36" t="n">
        <v>49.71</v>
      </c>
      <c r="BI203" s="38" t="s">
        <v>1586</v>
      </c>
      <c r="BJ203" s="49" t="s">
        <v>109</v>
      </c>
      <c r="BK203" s="49" t="s">
        <v>1014</v>
      </c>
      <c r="BL203" s="40" t="n">
        <v>45000</v>
      </c>
    </row>
    <row r="204" customFormat="false" ht="361.5" hidden="false" customHeight="false" outlineLevel="0" collapsed="false">
      <c r="A204" s="12" t="s">
        <v>22</v>
      </c>
      <c r="B204" s="18" t="s">
        <v>1587</v>
      </c>
      <c r="C204" s="13" t="s">
        <v>1588</v>
      </c>
      <c r="D204" s="14" t="s">
        <v>65</v>
      </c>
      <c r="E204" s="14" t="s">
        <v>66</v>
      </c>
      <c r="F204" s="14" t="n">
        <v>2000</v>
      </c>
      <c r="G204" s="14" t="n">
        <v>2000</v>
      </c>
      <c r="H204" s="15" t="n">
        <v>0.07</v>
      </c>
      <c r="I204" s="15" t="n">
        <v>140</v>
      </c>
      <c r="J204" s="23" t="s">
        <v>1589</v>
      </c>
      <c r="K204" s="45" t="n">
        <v>203</v>
      </c>
      <c r="L204" s="17" t="s">
        <v>68</v>
      </c>
      <c r="M204" s="17" t="n">
        <v>21000000449</v>
      </c>
      <c r="N204" s="18" t="s">
        <v>1590</v>
      </c>
      <c r="O204" s="17" t="s">
        <v>70</v>
      </c>
      <c r="P204" s="17" t="n">
        <f aca="false">SUM(R204:AP204)</f>
        <v>2000</v>
      </c>
      <c r="Q204" s="17" t="s">
        <v>71</v>
      </c>
      <c r="R204" s="17"/>
      <c r="S204" s="17"/>
      <c r="T204" s="17"/>
      <c r="U204" s="17"/>
      <c r="V204" s="17"/>
      <c r="W204" s="17" t="n">
        <v>2000</v>
      </c>
      <c r="X204" s="17"/>
      <c r="Y204" s="17"/>
      <c r="Z204" s="17"/>
      <c r="AA204" s="82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9" t="s">
        <v>1590</v>
      </c>
      <c r="AR204" s="17" t="s">
        <v>72</v>
      </c>
      <c r="AS204" s="20" t="n">
        <f aca="false">AVERAGE(AV204,BB204,BH204)</f>
        <v>0.0866666666666667</v>
      </c>
      <c r="AT204" s="21" t="n">
        <f aca="false">(AS204*1.3)</f>
        <v>0.112666666666667</v>
      </c>
      <c r="AU204" s="48" t="s">
        <v>87</v>
      </c>
      <c r="AV204" s="20" t="n">
        <v>0.1</v>
      </c>
      <c r="AW204" s="23" t="s">
        <v>1591</v>
      </c>
      <c r="AX204" s="45" t="s">
        <v>610</v>
      </c>
      <c r="AY204" s="17" t="s">
        <v>90</v>
      </c>
      <c r="AZ204" s="25" t="n">
        <v>45000</v>
      </c>
      <c r="BA204" s="44" t="s">
        <v>1114</v>
      </c>
      <c r="BB204" s="20" t="n">
        <v>0.1</v>
      </c>
      <c r="BC204" s="23" t="s">
        <v>1592</v>
      </c>
      <c r="BD204" s="45" t="s">
        <v>1163</v>
      </c>
      <c r="BE204" s="17" t="s">
        <v>90</v>
      </c>
      <c r="BF204" s="25" t="n">
        <v>45000</v>
      </c>
      <c r="BG204" s="56" t="s">
        <v>107</v>
      </c>
      <c r="BH204" s="20" t="n">
        <v>0.06</v>
      </c>
      <c r="BI204" s="23" t="s">
        <v>1593</v>
      </c>
      <c r="BJ204" s="45" t="s">
        <v>109</v>
      </c>
      <c r="BK204" s="45" t="s">
        <v>1014</v>
      </c>
      <c r="BL204" s="25" t="n">
        <v>45000</v>
      </c>
    </row>
    <row r="205" customFormat="false" ht="417.75" hidden="false" customHeight="false" outlineLevel="0" collapsed="false">
      <c r="A205" s="28" t="s">
        <v>34</v>
      </c>
      <c r="B205" s="34" t="s">
        <v>1594</v>
      </c>
      <c r="C205" s="29" t="s">
        <v>1595</v>
      </c>
      <c r="D205" s="30" t="s">
        <v>65</v>
      </c>
      <c r="E205" s="30" t="s">
        <v>66</v>
      </c>
      <c r="F205" s="30" t="n">
        <v>500</v>
      </c>
      <c r="G205" s="30" t="n">
        <v>500</v>
      </c>
      <c r="H205" s="31" t="n">
        <v>0.12</v>
      </c>
      <c r="I205" s="31" t="n">
        <v>60</v>
      </c>
      <c r="J205" s="38" t="s">
        <v>1596</v>
      </c>
      <c r="K205" s="49" t="n">
        <v>204</v>
      </c>
      <c r="L205" s="33" t="s">
        <v>68</v>
      </c>
      <c r="M205" s="33" t="n">
        <v>21000000236</v>
      </c>
      <c r="N205" s="34" t="s">
        <v>1597</v>
      </c>
      <c r="O205" s="33" t="s">
        <v>70</v>
      </c>
      <c r="P205" s="33" t="n">
        <f aca="false">SUM(R205:AP205)</f>
        <v>500</v>
      </c>
      <c r="Q205" s="33" t="s">
        <v>71</v>
      </c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0"/>
      <c r="AI205" s="33" t="n">
        <v>500</v>
      </c>
      <c r="AJ205" s="33"/>
      <c r="AK205" s="33"/>
      <c r="AL205" s="33"/>
      <c r="AM205" s="33"/>
      <c r="AN205" s="33"/>
      <c r="AO205" s="33"/>
      <c r="AP205" s="33"/>
      <c r="AQ205" s="35" t="s">
        <v>1597</v>
      </c>
      <c r="AR205" s="33" t="s">
        <v>72</v>
      </c>
      <c r="AS205" s="36" t="n">
        <f aca="false">AVERAGE(AV205,BB205,BH205)</f>
        <v>0.45</v>
      </c>
      <c r="AT205" s="21" t="n">
        <f aca="false">(AS205*1.3)</f>
        <v>0.585</v>
      </c>
      <c r="AU205" s="48" t="s">
        <v>128</v>
      </c>
      <c r="AV205" s="36" t="n">
        <v>0.45</v>
      </c>
      <c r="AW205" s="38" t="s">
        <v>1598</v>
      </c>
      <c r="AX205" s="49" t="s">
        <v>130</v>
      </c>
      <c r="AY205" s="33" t="s">
        <v>1018</v>
      </c>
      <c r="AZ205" s="40" t="n">
        <v>45000</v>
      </c>
      <c r="BA205" s="10"/>
      <c r="BB205" s="36"/>
      <c r="BC205" s="33"/>
      <c r="BD205" s="33"/>
      <c r="BE205" s="33"/>
      <c r="BF205" s="33"/>
      <c r="BG205" s="11"/>
      <c r="BH205" s="36"/>
      <c r="BI205" s="33"/>
      <c r="BJ205" s="33"/>
      <c r="BK205" s="33"/>
      <c r="BL205" s="33"/>
    </row>
    <row r="206" customFormat="false" ht="451.5" hidden="false" customHeight="false" outlineLevel="0" collapsed="false">
      <c r="A206" s="12" t="s">
        <v>22</v>
      </c>
      <c r="B206" s="18" t="s">
        <v>1599</v>
      </c>
      <c r="C206" s="13" t="s">
        <v>1600</v>
      </c>
      <c r="D206" s="14" t="s">
        <v>65</v>
      </c>
      <c r="E206" s="14" t="s">
        <v>66</v>
      </c>
      <c r="F206" s="14" t="n">
        <v>5000</v>
      </c>
      <c r="G206" s="14" t="n">
        <v>5000</v>
      </c>
      <c r="H206" s="15" t="n">
        <v>0.05</v>
      </c>
      <c r="I206" s="15" t="n">
        <v>250</v>
      </c>
      <c r="J206" s="23" t="s">
        <v>1601</v>
      </c>
      <c r="K206" s="45" t="n">
        <v>205</v>
      </c>
      <c r="L206" s="17" t="s">
        <v>68</v>
      </c>
      <c r="M206" s="17" t="n">
        <v>21000000237</v>
      </c>
      <c r="N206" s="18" t="s">
        <v>1602</v>
      </c>
      <c r="O206" s="17" t="s">
        <v>70</v>
      </c>
      <c r="P206" s="17" t="n">
        <f aca="false">SUM(R206:AP206)</f>
        <v>5000</v>
      </c>
      <c r="Q206" s="17" t="s">
        <v>71</v>
      </c>
      <c r="R206" s="17"/>
      <c r="S206" s="17"/>
      <c r="T206" s="17"/>
      <c r="U206" s="17"/>
      <c r="V206" s="17"/>
      <c r="W206" s="17" t="n">
        <v>5000</v>
      </c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4"/>
      <c r="AJ206" s="17"/>
      <c r="AK206" s="17"/>
      <c r="AL206" s="17"/>
      <c r="AM206" s="17"/>
      <c r="AN206" s="17"/>
      <c r="AO206" s="17"/>
      <c r="AP206" s="17"/>
      <c r="AQ206" s="19" t="s">
        <v>1602</v>
      </c>
      <c r="AR206" s="17" t="s">
        <v>72</v>
      </c>
      <c r="AS206" s="20" t="n">
        <f aca="false">AVERAGE(AV206,BB206,BH206)</f>
        <v>0.133333333333333</v>
      </c>
      <c r="AT206" s="21" t="n">
        <f aca="false">(AS206*1.3)</f>
        <v>0.173333333333333</v>
      </c>
      <c r="AU206" s="48" t="s">
        <v>87</v>
      </c>
      <c r="AV206" s="20" t="n">
        <v>0.12</v>
      </c>
      <c r="AW206" s="23" t="s">
        <v>1603</v>
      </c>
      <c r="AX206" s="45" t="s">
        <v>610</v>
      </c>
      <c r="AY206" s="17" t="s">
        <v>90</v>
      </c>
      <c r="AZ206" s="25" t="n">
        <v>45000</v>
      </c>
      <c r="BA206" s="44" t="s">
        <v>555</v>
      </c>
      <c r="BB206" s="20" t="n">
        <v>0.14</v>
      </c>
      <c r="BC206" s="23" t="s">
        <v>1604</v>
      </c>
      <c r="BD206" s="45" t="s">
        <v>503</v>
      </c>
      <c r="BE206" s="17" t="s">
        <v>94</v>
      </c>
      <c r="BF206" s="80" t="n">
        <v>45000</v>
      </c>
      <c r="BG206" s="56" t="s">
        <v>350</v>
      </c>
      <c r="BH206" s="20" t="n">
        <v>0.14</v>
      </c>
      <c r="BI206" s="23" t="s">
        <v>1605</v>
      </c>
      <c r="BJ206" s="45" t="s">
        <v>97</v>
      </c>
      <c r="BK206" s="17" t="s">
        <v>98</v>
      </c>
      <c r="BL206" s="80" t="n">
        <v>45000</v>
      </c>
    </row>
    <row r="207" customFormat="false" ht="440.25" hidden="false" customHeight="false" outlineLevel="0" collapsed="false">
      <c r="A207" s="28" t="s">
        <v>26</v>
      </c>
      <c r="B207" s="28" t="s">
        <v>1606</v>
      </c>
      <c r="C207" s="29" t="s">
        <v>1607</v>
      </c>
      <c r="D207" s="30" t="s">
        <v>65</v>
      </c>
      <c r="E207" s="30" t="s">
        <v>66</v>
      </c>
      <c r="F207" s="30" t="n">
        <v>1</v>
      </c>
      <c r="G207" s="30" t="n">
        <v>500</v>
      </c>
      <c r="H207" s="31" t="n">
        <v>15</v>
      </c>
      <c r="I207" s="31" t="n">
        <v>15</v>
      </c>
      <c r="J207" s="38" t="s">
        <v>1608</v>
      </c>
      <c r="K207" s="49" t="n">
        <v>206</v>
      </c>
      <c r="L207" s="33" t="s">
        <v>68</v>
      </c>
      <c r="M207" s="33" t="n">
        <v>21000000234</v>
      </c>
      <c r="N207" s="34" t="s">
        <v>1609</v>
      </c>
      <c r="O207" s="33" t="s">
        <v>70</v>
      </c>
      <c r="P207" s="33" t="n">
        <f aca="false">SUM(R207:AP207)</f>
        <v>500</v>
      </c>
      <c r="Q207" s="33" t="s">
        <v>71</v>
      </c>
      <c r="R207" s="33"/>
      <c r="S207" s="33"/>
      <c r="T207" s="33"/>
      <c r="U207" s="33"/>
      <c r="V207" s="33"/>
      <c r="W207" s="33"/>
      <c r="X207" s="33"/>
      <c r="Y207" s="33"/>
      <c r="Z207" s="33"/>
      <c r="AA207" s="33" t="n">
        <v>500</v>
      </c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0"/>
      <c r="AQ207" s="35" t="s">
        <v>1609</v>
      </c>
      <c r="AR207" s="33" t="s">
        <v>72</v>
      </c>
      <c r="AS207" s="36" t="n">
        <f aca="false">AVERAGE(AV207,BB207,BH207)</f>
        <v>0.04</v>
      </c>
      <c r="AT207" s="21" t="n">
        <f aca="false">(AS207*1.3)</f>
        <v>0.052</v>
      </c>
      <c r="AU207" s="48" t="s">
        <v>87</v>
      </c>
      <c r="AV207" s="36" t="n">
        <v>0.06</v>
      </c>
      <c r="AW207" s="38" t="s">
        <v>1610</v>
      </c>
      <c r="AX207" s="49" t="s">
        <v>610</v>
      </c>
      <c r="AY207" s="33" t="s">
        <v>90</v>
      </c>
      <c r="AZ207" s="40" t="n">
        <v>45000</v>
      </c>
      <c r="BA207" s="44" t="s">
        <v>125</v>
      </c>
      <c r="BB207" s="36" t="n">
        <v>0.02</v>
      </c>
      <c r="BC207" s="38" t="s">
        <v>1611</v>
      </c>
      <c r="BD207" s="49" t="s">
        <v>127</v>
      </c>
      <c r="BE207" s="60" t="s">
        <v>110</v>
      </c>
      <c r="BF207" s="74" t="n">
        <v>45000</v>
      </c>
      <c r="BG207" s="56" t="s">
        <v>287</v>
      </c>
      <c r="BH207" s="36" t="n">
        <v>0.04</v>
      </c>
      <c r="BI207" s="38" t="s">
        <v>1612</v>
      </c>
      <c r="BJ207" s="49" t="s">
        <v>134</v>
      </c>
      <c r="BK207" s="33" t="s">
        <v>94</v>
      </c>
      <c r="BL207" s="74" t="n">
        <v>45000</v>
      </c>
    </row>
    <row r="208" customFormat="false" ht="462.75" hidden="false" customHeight="false" outlineLevel="0" collapsed="false">
      <c r="A208" s="12" t="s">
        <v>22</v>
      </c>
      <c r="B208" s="12" t="s">
        <v>1613</v>
      </c>
      <c r="C208" s="13" t="s">
        <v>1614</v>
      </c>
      <c r="D208" s="14" t="s">
        <v>65</v>
      </c>
      <c r="E208" s="14" t="s">
        <v>66</v>
      </c>
      <c r="F208" s="14" t="n">
        <v>3500</v>
      </c>
      <c r="G208" s="14" t="n">
        <v>3500</v>
      </c>
      <c r="H208" s="15" t="n">
        <v>0.08</v>
      </c>
      <c r="I208" s="15" t="n">
        <v>280</v>
      </c>
      <c r="J208" s="23" t="s">
        <v>1615</v>
      </c>
      <c r="K208" s="45" t="n">
        <v>207</v>
      </c>
      <c r="L208" s="17" t="s">
        <v>68</v>
      </c>
      <c r="M208" s="17" t="n">
        <v>21000000233</v>
      </c>
      <c r="N208" s="18" t="s">
        <v>1616</v>
      </c>
      <c r="O208" s="17" t="s">
        <v>70</v>
      </c>
      <c r="P208" s="17" t="n">
        <f aca="false">SUM(R208:AP208)</f>
        <v>3500</v>
      </c>
      <c r="Q208" s="17" t="s">
        <v>71</v>
      </c>
      <c r="R208" s="17"/>
      <c r="S208" s="17"/>
      <c r="T208" s="17"/>
      <c r="U208" s="17"/>
      <c r="V208" s="17"/>
      <c r="W208" s="17" t="n">
        <v>3500</v>
      </c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9" t="s">
        <v>1616</v>
      </c>
      <c r="AR208" s="17" t="s">
        <v>72</v>
      </c>
      <c r="AS208" s="20" t="n">
        <f aca="false">AVERAGE(AV208,BB208,BH208)</f>
        <v>0.0633333333333333</v>
      </c>
      <c r="AT208" s="21" t="n">
        <f aca="false">(AS208*1.3)</f>
        <v>0.0823333333333333</v>
      </c>
      <c r="AU208" s="48" t="s">
        <v>107</v>
      </c>
      <c r="AV208" s="20" t="n">
        <v>0.06</v>
      </c>
      <c r="AW208" s="23" t="s">
        <v>1617</v>
      </c>
      <c r="AX208" s="45" t="s">
        <v>109</v>
      </c>
      <c r="AY208" s="45" t="s">
        <v>1014</v>
      </c>
      <c r="AZ208" s="25" t="n">
        <v>45000</v>
      </c>
      <c r="BA208" s="44" t="s">
        <v>87</v>
      </c>
      <c r="BB208" s="20" t="n">
        <v>0.07</v>
      </c>
      <c r="BC208" s="23" t="s">
        <v>1618</v>
      </c>
      <c r="BD208" s="45" t="s">
        <v>610</v>
      </c>
      <c r="BE208" s="17" t="s">
        <v>90</v>
      </c>
      <c r="BF208" s="80" t="n">
        <v>45000</v>
      </c>
      <c r="BG208" s="107" t="s">
        <v>1619</v>
      </c>
      <c r="BH208" s="20" t="n">
        <v>0.06</v>
      </c>
      <c r="BI208" s="23" t="s">
        <v>1620</v>
      </c>
      <c r="BJ208" s="45" t="s">
        <v>1621</v>
      </c>
      <c r="BK208" s="45" t="s">
        <v>1014</v>
      </c>
      <c r="BL208" s="80" t="n">
        <v>45000</v>
      </c>
    </row>
    <row r="209" customFormat="false" ht="406.5" hidden="false" customHeight="false" outlineLevel="0" collapsed="false">
      <c r="A209" s="28" t="s">
        <v>22</v>
      </c>
      <c r="B209" s="28" t="s">
        <v>1622</v>
      </c>
      <c r="C209" s="29" t="s">
        <v>1623</v>
      </c>
      <c r="D209" s="30" t="s">
        <v>65</v>
      </c>
      <c r="E209" s="30" t="s">
        <v>66</v>
      </c>
      <c r="F209" s="30" t="n">
        <v>502</v>
      </c>
      <c r="G209" s="30" t="n">
        <v>502</v>
      </c>
      <c r="H209" s="31" t="n">
        <v>20</v>
      </c>
      <c r="I209" s="31" t="n">
        <v>10040</v>
      </c>
      <c r="J209" s="38" t="s">
        <v>1624</v>
      </c>
      <c r="K209" s="49" t="n">
        <v>208</v>
      </c>
      <c r="L209" s="33" t="s">
        <v>68</v>
      </c>
      <c r="M209" s="33" t="n">
        <v>21000000232</v>
      </c>
      <c r="N209" s="34" t="s">
        <v>1625</v>
      </c>
      <c r="O209" s="33" t="s">
        <v>70</v>
      </c>
      <c r="P209" s="33" t="n">
        <f aca="false">SUM(R209:AP209)</f>
        <v>12000</v>
      </c>
      <c r="Q209" s="33" t="s">
        <v>71</v>
      </c>
      <c r="R209" s="33"/>
      <c r="S209" s="33"/>
      <c r="T209" s="33"/>
      <c r="U209" s="33"/>
      <c r="V209" s="33"/>
      <c r="W209" s="33" t="n">
        <v>500</v>
      </c>
      <c r="X209" s="33"/>
      <c r="Y209" s="33"/>
      <c r="Z209" s="33"/>
      <c r="AA209" s="33" t="n">
        <v>500</v>
      </c>
      <c r="AB209" s="33"/>
      <c r="AC209" s="33"/>
      <c r="AD209" s="33"/>
      <c r="AE209" s="33"/>
      <c r="AF209" s="33"/>
      <c r="AG209" s="33"/>
      <c r="AH209" s="33" t="n">
        <v>2000</v>
      </c>
      <c r="AI209" s="30" t="n">
        <v>3000</v>
      </c>
      <c r="AJ209" s="33"/>
      <c r="AK209" s="33"/>
      <c r="AL209" s="33"/>
      <c r="AM209" s="33"/>
      <c r="AN209" s="33"/>
      <c r="AO209" s="33" t="n">
        <v>1000</v>
      </c>
      <c r="AP209" s="33" t="n">
        <v>5000</v>
      </c>
      <c r="AQ209" s="35" t="s">
        <v>1625</v>
      </c>
      <c r="AR209" s="33" t="s">
        <v>155</v>
      </c>
      <c r="AS209" s="36" t="n">
        <f aca="false">AVERAGE(AV209,BB209,BH209)</f>
        <v>0.119193333333333</v>
      </c>
      <c r="AT209" s="21" t="n">
        <f aca="false">(AS209*1.3)</f>
        <v>0.154951333333333</v>
      </c>
      <c r="AU209" s="48" t="s">
        <v>175</v>
      </c>
      <c r="AV209" s="36" t="n">
        <f aca="false">60/500</f>
        <v>0.12</v>
      </c>
      <c r="AW209" s="32" t="s">
        <v>1626</v>
      </c>
      <c r="AX209" s="49" t="s">
        <v>587</v>
      </c>
      <c r="AY209" s="33" t="s">
        <v>94</v>
      </c>
      <c r="AZ209" s="74" t="n">
        <v>44999</v>
      </c>
      <c r="BA209" s="44" t="s">
        <v>104</v>
      </c>
      <c r="BB209" s="36" t="n">
        <f aca="false">56.08/500</f>
        <v>0.11216</v>
      </c>
      <c r="BC209" s="38" t="s">
        <v>1627</v>
      </c>
      <c r="BD209" s="49" t="s">
        <v>420</v>
      </c>
      <c r="BE209" s="33" t="s">
        <v>253</v>
      </c>
      <c r="BF209" s="74" t="n">
        <v>44999</v>
      </c>
      <c r="BG209" s="108" t="s">
        <v>128</v>
      </c>
      <c r="BH209" s="36" t="n">
        <f aca="false">62.71/500</f>
        <v>0.12542</v>
      </c>
      <c r="BI209" s="38" t="s">
        <v>1628</v>
      </c>
      <c r="BJ209" s="109" t="s">
        <v>130</v>
      </c>
      <c r="BK209" s="33" t="s">
        <v>131</v>
      </c>
      <c r="BL209" s="74" t="n">
        <v>44999</v>
      </c>
    </row>
    <row r="210" customFormat="false" ht="485.25" hidden="false" customHeight="false" outlineLevel="0" collapsed="false">
      <c r="A210" s="12" t="s">
        <v>34</v>
      </c>
      <c r="B210" s="12" t="s">
        <v>1629</v>
      </c>
      <c r="C210" s="13" t="s">
        <v>1630</v>
      </c>
      <c r="D210" s="14" t="s">
        <v>65</v>
      </c>
      <c r="E210" s="14" t="s">
        <v>66</v>
      </c>
      <c r="F210" s="14" t="n">
        <v>1</v>
      </c>
      <c r="G210" s="14" t="n">
        <v>500</v>
      </c>
      <c r="H210" s="15" t="n">
        <v>31.74</v>
      </c>
      <c r="I210" s="15" t="n">
        <v>31.74</v>
      </c>
      <c r="J210" s="23" t="s">
        <v>1631</v>
      </c>
      <c r="K210" s="45" t="n">
        <v>209</v>
      </c>
      <c r="L210" s="17" t="s">
        <v>68</v>
      </c>
      <c r="M210" s="17" t="n">
        <v>21000000583</v>
      </c>
      <c r="N210" s="18" t="s">
        <v>1632</v>
      </c>
      <c r="O210" s="17" t="s">
        <v>70</v>
      </c>
      <c r="P210" s="17" t="n">
        <f aca="false">SUM(R210:AP210)</f>
        <v>500</v>
      </c>
      <c r="Q210" s="17" t="s">
        <v>71</v>
      </c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 t="n">
        <v>500</v>
      </c>
      <c r="AJ210" s="17"/>
      <c r="AK210" s="17"/>
      <c r="AL210" s="17"/>
      <c r="AM210" s="17"/>
      <c r="AN210" s="17"/>
      <c r="AO210" s="17"/>
      <c r="AP210" s="17"/>
      <c r="AQ210" s="19" t="s">
        <v>1632</v>
      </c>
      <c r="AR210" s="17" t="s">
        <v>1633</v>
      </c>
      <c r="AS210" s="20" t="n">
        <f aca="false">AVERAGE(AV210,BB210,BH210)</f>
        <v>0.0627533333333333</v>
      </c>
      <c r="AT210" s="21" t="n">
        <f aca="false">(AS210*1.3)</f>
        <v>0.0815793333333333</v>
      </c>
      <c r="AU210" s="110" t="s">
        <v>128</v>
      </c>
      <c r="AV210" s="20" t="n">
        <f aca="false">28.71/500</f>
        <v>0.05742</v>
      </c>
      <c r="AW210" s="23" t="s">
        <v>1634</v>
      </c>
      <c r="AX210" s="76" t="s">
        <v>130</v>
      </c>
      <c r="AY210" s="17" t="s">
        <v>253</v>
      </c>
      <c r="AZ210" s="80" t="n">
        <v>44999</v>
      </c>
      <c r="BA210" s="111" t="s">
        <v>87</v>
      </c>
      <c r="BB210" s="20" t="n">
        <f aca="false">30.25/500</f>
        <v>0.0605</v>
      </c>
      <c r="BC210" s="23" t="s">
        <v>1635</v>
      </c>
      <c r="BD210" s="76" t="s">
        <v>610</v>
      </c>
      <c r="BE210" s="17" t="s">
        <v>90</v>
      </c>
      <c r="BF210" s="80" t="n">
        <v>44999</v>
      </c>
      <c r="BG210" s="56" t="s">
        <v>125</v>
      </c>
      <c r="BH210" s="20" t="n">
        <f aca="false">35.17/500</f>
        <v>0.07034</v>
      </c>
      <c r="BI210" s="16" t="s">
        <v>1636</v>
      </c>
      <c r="BJ210" s="45" t="s">
        <v>127</v>
      </c>
      <c r="BK210" s="17" t="s">
        <v>444</v>
      </c>
      <c r="BL210" s="80" t="n">
        <v>44999</v>
      </c>
    </row>
    <row r="211" customFormat="false" ht="496.5" hidden="false" customHeight="false" outlineLevel="0" collapsed="false">
      <c r="A211" s="28" t="s">
        <v>18</v>
      </c>
      <c r="B211" s="28" t="s">
        <v>1637</v>
      </c>
      <c r="C211" s="29" t="s">
        <v>1638</v>
      </c>
      <c r="D211" s="30" t="s">
        <v>65</v>
      </c>
      <c r="E211" s="30" t="s">
        <v>66</v>
      </c>
      <c r="F211" s="30" t="n">
        <v>1000</v>
      </c>
      <c r="G211" s="30" t="n">
        <v>1000</v>
      </c>
      <c r="H211" s="31" t="n">
        <v>0.06</v>
      </c>
      <c r="I211" s="31" t="n">
        <v>60</v>
      </c>
      <c r="J211" s="38" t="s">
        <v>1639</v>
      </c>
      <c r="K211" s="49" t="n">
        <v>210</v>
      </c>
      <c r="L211" s="33" t="s">
        <v>68</v>
      </c>
      <c r="M211" s="33" t="n">
        <v>21000000227</v>
      </c>
      <c r="N211" s="34" t="s">
        <v>1640</v>
      </c>
      <c r="O211" s="33" t="s">
        <v>70</v>
      </c>
      <c r="P211" s="33" t="n">
        <f aca="false">SUM(R211:AP211)</f>
        <v>1000</v>
      </c>
      <c r="Q211" s="33" t="s">
        <v>71</v>
      </c>
      <c r="R211" s="33"/>
      <c r="S211" s="33" t="n">
        <v>1000</v>
      </c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5" t="s">
        <v>1640</v>
      </c>
      <c r="AR211" s="33" t="s">
        <v>155</v>
      </c>
      <c r="AS211" s="36" t="n">
        <f aca="false">AVERAGE(AV211,BB211,BH211)</f>
        <v>0.14558</v>
      </c>
      <c r="AT211" s="21" t="n">
        <f aca="false">(AS211*1.3)</f>
        <v>0.189254</v>
      </c>
      <c r="AU211" s="110"/>
      <c r="AV211" s="36"/>
      <c r="AW211" s="33"/>
      <c r="AX211" s="109"/>
      <c r="AY211" s="33"/>
      <c r="AZ211" s="74"/>
      <c r="BA211" s="44" t="s">
        <v>125</v>
      </c>
      <c r="BB211" s="36" t="n">
        <f aca="false">37.79/250</f>
        <v>0.15116</v>
      </c>
      <c r="BC211" s="32" t="s">
        <v>1641</v>
      </c>
      <c r="BD211" s="49" t="s">
        <v>127</v>
      </c>
      <c r="BE211" s="33" t="s">
        <v>253</v>
      </c>
      <c r="BF211" s="74" t="n">
        <v>44999</v>
      </c>
      <c r="BG211" s="56" t="s">
        <v>350</v>
      </c>
      <c r="BH211" s="36" t="n">
        <f aca="false">70/500</f>
        <v>0.14</v>
      </c>
      <c r="BI211" s="32" t="s">
        <v>1642</v>
      </c>
      <c r="BJ211" s="49" t="s">
        <v>97</v>
      </c>
      <c r="BK211" s="33" t="s">
        <v>639</v>
      </c>
      <c r="BL211" s="74" t="n">
        <v>44999</v>
      </c>
    </row>
    <row r="212" customFormat="false" ht="507.75" hidden="false" customHeight="false" outlineLevel="0" collapsed="false">
      <c r="A212" s="12" t="s">
        <v>34</v>
      </c>
      <c r="B212" s="12" t="s">
        <v>1643</v>
      </c>
      <c r="C212" s="13" t="s">
        <v>1644</v>
      </c>
      <c r="D212" s="14" t="s">
        <v>65</v>
      </c>
      <c r="E212" s="14" t="s">
        <v>66</v>
      </c>
      <c r="F212" s="14" t="n">
        <v>1</v>
      </c>
      <c r="G212" s="14" t="n">
        <v>500</v>
      </c>
      <c r="H212" s="15" t="n">
        <v>87.34</v>
      </c>
      <c r="I212" s="15" t="n">
        <v>87.34</v>
      </c>
      <c r="J212" s="16" t="s">
        <v>1645</v>
      </c>
      <c r="K212" s="45" t="n">
        <v>211</v>
      </c>
      <c r="L212" s="17" t="s">
        <v>68</v>
      </c>
      <c r="M212" s="17" t="n">
        <v>21000000565</v>
      </c>
      <c r="N212" s="18" t="s">
        <v>1646</v>
      </c>
      <c r="O212" s="17" t="s">
        <v>70</v>
      </c>
      <c r="P212" s="17" t="n">
        <f aca="false">SUM(R212:AP212)</f>
        <v>500</v>
      </c>
      <c r="Q212" s="17" t="s">
        <v>71</v>
      </c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4" t="n">
        <v>500</v>
      </c>
      <c r="AJ212" s="17"/>
      <c r="AK212" s="17"/>
      <c r="AL212" s="17"/>
      <c r="AM212" s="17"/>
      <c r="AN212" s="17"/>
      <c r="AO212" s="17"/>
      <c r="AP212" s="17"/>
      <c r="AQ212" s="19" t="s">
        <v>1646</v>
      </c>
      <c r="AR212" s="17" t="s">
        <v>1633</v>
      </c>
      <c r="AS212" s="20" t="n">
        <f aca="false">AVERAGE(AV212,BB212,BH212)</f>
        <v>0.178753333333333</v>
      </c>
      <c r="AT212" s="21" t="n">
        <f aca="false">(AS212*1.3)</f>
        <v>0.232379333333333</v>
      </c>
      <c r="AU212" s="110" t="s">
        <v>107</v>
      </c>
      <c r="AV212" s="20" t="n">
        <f aca="false">79.71/500</f>
        <v>0.15942</v>
      </c>
      <c r="AW212" s="23" t="s">
        <v>1647</v>
      </c>
      <c r="AX212" s="76" t="s">
        <v>109</v>
      </c>
      <c r="AY212" s="17" t="s">
        <v>253</v>
      </c>
      <c r="AZ212" s="80" t="n">
        <v>44999</v>
      </c>
      <c r="BA212" s="111" t="s">
        <v>128</v>
      </c>
      <c r="BB212" s="20" t="n">
        <f aca="false">84.69/500</f>
        <v>0.16938</v>
      </c>
      <c r="BC212" s="23" t="s">
        <v>1648</v>
      </c>
      <c r="BD212" s="76" t="s">
        <v>411</v>
      </c>
      <c r="BE212" s="17" t="s">
        <v>253</v>
      </c>
      <c r="BF212" s="80" t="n">
        <v>44999</v>
      </c>
      <c r="BG212" s="108" t="s">
        <v>125</v>
      </c>
      <c r="BH212" s="20" t="n">
        <f aca="false">103.73/500</f>
        <v>0.20746</v>
      </c>
      <c r="BI212" s="23" t="s">
        <v>1649</v>
      </c>
      <c r="BJ212" s="76" t="s">
        <v>127</v>
      </c>
      <c r="BK212" s="17" t="s">
        <v>444</v>
      </c>
      <c r="BL212" s="80" t="n">
        <v>44999</v>
      </c>
    </row>
    <row r="213" customFormat="false" ht="440.25" hidden="false" customHeight="false" outlineLevel="0" collapsed="false">
      <c r="A213" s="28" t="s">
        <v>40</v>
      </c>
      <c r="B213" s="28" t="s">
        <v>1650</v>
      </c>
      <c r="C213" s="29" t="s">
        <v>1651</v>
      </c>
      <c r="D213" s="30" t="s">
        <v>65</v>
      </c>
      <c r="E213" s="30" t="s">
        <v>66</v>
      </c>
      <c r="F213" s="30" t="n">
        <v>1000</v>
      </c>
      <c r="G213" s="30" t="n">
        <v>1000</v>
      </c>
      <c r="H213" s="31" t="n">
        <v>0.15</v>
      </c>
      <c r="I213" s="31" t="n">
        <v>150</v>
      </c>
      <c r="J213" s="38" t="s">
        <v>1652</v>
      </c>
      <c r="K213" s="49" t="n">
        <v>212</v>
      </c>
      <c r="L213" s="33" t="s">
        <v>68</v>
      </c>
      <c r="M213" s="33" t="n">
        <v>21000000226</v>
      </c>
      <c r="N213" s="34" t="s">
        <v>1653</v>
      </c>
      <c r="O213" s="33" t="s">
        <v>70</v>
      </c>
      <c r="P213" s="33" t="n">
        <f aca="false">SUM(R213:AP213)</f>
        <v>1000</v>
      </c>
      <c r="Q213" s="33" t="s">
        <v>71</v>
      </c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 t="n">
        <v>1000</v>
      </c>
      <c r="AP213" s="33"/>
      <c r="AQ213" s="35" t="s">
        <v>1653</v>
      </c>
      <c r="AR213" s="33" t="s">
        <v>1633</v>
      </c>
      <c r="AS213" s="36" t="n">
        <f aca="false">AVERAGE(AV213,BB213,BH213)</f>
        <v>0.0568733333333333</v>
      </c>
      <c r="AT213" s="21" t="n">
        <f aca="false">(AS213*1.3)</f>
        <v>0.0739353333333333</v>
      </c>
      <c r="AU213" s="37" t="s">
        <v>1654</v>
      </c>
      <c r="AV213" s="36" t="n">
        <f aca="false">30.99/500</f>
        <v>0.06198</v>
      </c>
      <c r="AW213" s="38" t="s">
        <v>1655</v>
      </c>
      <c r="AX213" s="109" t="s">
        <v>1656</v>
      </c>
      <c r="AY213" s="34" t="s">
        <v>1657</v>
      </c>
      <c r="AZ213" s="74" t="n">
        <v>44999</v>
      </c>
      <c r="BA213" s="111" t="s">
        <v>128</v>
      </c>
      <c r="BB213" s="36" t="n">
        <f aca="false">27.76/500</f>
        <v>0.05552</v>
      </c>
      <c r="BC213" s="38" t="s">
        <v>1658</v>
      </c>
      <c r="BD213" s="109" t="s">
        <v>130</v>
      </c>
      <c r="BE213" s="33" t="s">
        <v>253</v>
      </c>
      <c r="BF213" s="74" t="n">
        <v>44999</v>
      </c>
      <c r="BG213" s="112" t="s">
        <v>1659</v>
      </c>
      <c r="BH213" s="36" t="n">
        <f aca="false">26.56/500</f>
        <v>0.05312</v>
      </c>
      <c r="BI213" s="38" t="s">
        <v>1660</v>
      </c>
      <c r="BJ213" s="113" t="s">
        <v>1352</v>
      </c>
      <c r="BK213" s="33" t="s">
        <v>253</v>
      </c>
      <c r="BL213" s="74" t="n">
        <v>44999</v>
      </c>
    </row>
    <row r="214" customFormat="false" ht="451.5" hidden="false" customHeight="false" outlineLevel="0" collapsed="false">
      <c r="A214" s="12" t="s">
        <v>22</v>
      </c>
      <c r="B214" s="12" t="s">
        <v>1661</v>
      </c>
      <c r="C214" s="13" t="s">
        <v>1662</v>
      </c>
      <c r="D214" s="14" t="s">
        <v>65</v>
      </c>
      <c r="E214" s="14" t="s">
        <v>66</v>
      </c>
      <c r="F214" s="14" t="n">
        <v>13</v>
      </c>
      <c r="G214" s="14" t="n">
        <v>13000</v>
      </c>
      <c r="H214" s="15" t="n">
        <v>29</v>
      </c>
      <c r="I214" s="15" t="n">
        <v>377</v>
      </c>
      <c r="J214" s="23" t="s">
        <v>1663</v>
      </c>
      <c r="K214" s="45" t="n">
        <v>213</v>
      </c>
      <c r="L214" s="17" t="s">
        <v>68</v>
      </c>
      <c r="M214" s="17" t="n">
        <v>21000000442</v>
      </c>
      <c r="N214" s="18" t="s">
        <v>1664</v>
      </c>
      <c r="O214" s="17" t="s">
        <v>70</v>
      </c>
      <c r="P214" s="17" t="n">
        <f aca="false">SUM(R214:AP214)</f>
        <v>14000</v>
      </c>
      <c r="Q214" s="17" t="s">
        <v>71</v>
      </c>
      <c r="R214" s="17"/>
      <c r="S214" s="17"/>
      <c r="T214" s="17"/>
      <c r="U214" s="17"/>
      <c r="V214" s="17"/>
      <c r="W214" s="17" t="n">
        <v>13000</v>
      </c>
      <c r="X214" s="17"/>
      <c r="Y214" s="17"/>
      <c r="Z214" s="17"/>
      <c r="AA214" s="82"/>
      <c r="AB214" s="17"/>
      <c r="AC214" s="17"/>
      <c r="AD214" s="17"/>
      <c r="AE214" s="17"/>
      <c r="AF214" s="17"/>
      <c r="AG214" s="17"/>
      <c r="AH214" s="17"/>
      <c r="AI214" s="17" t="n">
        <v>1000</v>
      </c>
      <c r="AJ214" s="17"/>
      <c r="AK214" s="17"/>
      <c r="AL214" s="17"/>
      <c r="AM214" s="17"/>
      <c r="AN214" s="17"/>
      <c r="AO214" s="17"/>
      <c r="AP214" s="17"/>
      <c r="AQ214" s="19" t="s">
        <v>1664</v>
      </c>
      <c r="AR214" s="17" t="s">
        <v>1633</v>
      </c>
      <c r="AS214" s="20" t="n">
        <f aca="false">AVERAGE(AV214,BB214,BH214)</f>
        <v>0.302623333333333</v>
      </c>
      <c r="AT214" s="21" t="n">
        <f aca="false">(AS214*1.3)</f>
        <v>0.393410333333333</v>
      </c>
      <c r="AU214" s="110" t="s">
        <v>107</v>
      </c>
      <c r="AV214" s="20" t="n">
        <f aca="false">301.47/1000</f>
        <v>0.30147</v>
      </c>
      <c r="AW214" s="23" t="s">
        <v>1665</v>
      </c>
      <c r="AX214" s="76" t="s">
        <v>109</v>
      </c>
      <c r="AY214" s="17" t="s">
        <v>253</v>
      </c>
      <c r="AZ214" s="80" t="n">
        <v>44999</v>
      </c>
      <c r="BA214" s="41" t="s">
        <v>104</v>
      </c>
      <c r="BB214" s="20" t="n">
        <f aca="false">286.4/1000</f>
        <v>0.2864</v>
      </c>
      <c r="BC214" s="23" t="s">
        <v>1666</v>
      </c>
      <c r="BD214" s="76" t="s">
        <v>420</v>
      </c>
      <c r="BE214" s="17" t="s">
        <v>253</v>
      </c>
      <c r="BF214" s="80" t="n">
        <v>44999</v>
      </c>
      <c r="BG214" s="108" t="s">
        <v>128</v>
      </c>
      <c r="BH214" s="20" t="n">
        <f aca="false">320/1000</f>
        <v>0.32</v>
      </c>
      <c r="BI214" s="23" t="s">
        <v>1667</v>
      </c>
      <c r="BJ214" s="76" t="s">
        <v>130</v>
      </c>
      <c r="BK214" s="17" t="s">
        <v>253</v>
      </c>
      <c r="BL214" s="80" t="n">
        <v>44999</v>
      </c>
    </row>
    <row r="215" customFormat="false" ht="384" hidden="false" customHeight="false" outlineLevel="0" collapsed="false">
      <c r="A215" s="28" t="s">
        <v>22</v>
      </c>
      <c r="B215" s="28" t="s">
        <v>1668</v>
      </c>
      <c r="C215" s="29" t="s">
        <v>1669</v>
      </c>
      <c r="D215" s="30" t="s">
        <v>65</v>
      </c>
      <c r="E215" s="30" t="s">
        <v>66</v>
      </c>
      <c r="F215" s="30" t="n">
        <v>10</v>
      </c>
      <c r="G215" s="30" t="n">
        <v>1000</v>
      </c>
      <c r="H215" s="31" t="n">
        <v>47</v>
      </c>
      <c r="I215" s="31" t="n">
        <v>470</v>
      </c>
      <c r="J215" s="38" t="s">
        <v>1670</v>
      </c>
      <c r="K215" s="49" t="n">
        <v>214</v>
      </c>
      <c r="L215" s="33" t="s">
        <v>68</v>
      </c>
      <c r="M215" s="33" t="n">
        <v>21000000341</v>
      </c>
      <c r="N215" s="34" t="s">
        <v>1671</v>
      </c>
      <c r="O215" s="33" t="s">
        <v>70</v>
      </c>
      <c r="P215" s="33" t="n">
        <f aca="false">SUM(R215:AP215)</f>
        <v>1000</v>
      </c>
      <c r="Q215" s="33" t="s">
        <v>71</v>
      </c>
      <c r="R215" s="33"/>
      <c r="S215" s="33"/>
      <c r="T215" s="33"/>
      <c r="U215" s="33"/>
      <c r="V215" s="33"/>
      <c r="W215" s="33" t="n">
        <v>1000</v>
      </c>
      <c r="X215" s="33"/>
      <c r="Y215" s="33"/>
      <c r="Z215" s="33"/>
      <c r="AA215" s="7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5" t="s">
        <v>1671</v>
      </c>
      <c r="AR215" s="33" t="s">
        <v>1633</v>
      </c>
      <c r="AS215" s="36" t="n">
        <f aca="false">AVERAGE(AV215,BB215,BH215)</f>
        <v>5.12653333333333</v>
      </c>
      <c r="AT215" s="21" t="n">
        <f aca="false">(AS215*1.3)</f>
        <v>6.66449333333333</v>
      </c>
      <c r="AU215" s="110" t="s">
        <v>107</v>
      </c>
      <c r="AV215" s="36" t="n">
        <f aca="false">540.16/100</f>
        <v>5.4016</v>
      </c>
      <c r="AW215" s="32" t="s">
        <v>1672</v>
      </c>
      <c r="AX215" s="109" t="s">
        <v>109</v>
      </c>
      <c r="AY215" s="33" t="s">
        <v>253</v>
      </c>
      <c r="AZ215" s="74" t="n">
        <v>44999</v>
      </c>
      <c r="BA215" s="111" t="s">
        <v>157</v>
      </c>
      <c r="BB215" s="36" t="n">
        <f aca="false">477.8/100</f>
        <v>4.778</v>
      </c>
      <c r="BC215" s="38" t="s">
        <v>1673</v>
      </c>
      <c r="BD215" s="109" t="s">
        <v>159</v>
      </c>
      <c r="BE215" s="33" t="s">
        <v>1674</v>
      </c>
      <c r="BF215" s="74" t="n">
        <v>44999</v>
      </c>
      <c r="BG215" s="56" t="s">
        <v>128</v>
      </c>
      <c r="BH215" s="36" t="n">
        <f aca="false">130 /25</f>
        <v>5.2</v>
      </c>
      <c r="BI215" s="38" t="s">
        <v>1675</v>
      </c>
      <c r="BJ215" s="49" t="s">
        <v>130</v>
      </c>
      <c r="BK215" s="33" t="s">
        <v>131</v>
      </c>
      <c r="BL215" s="74" t="n">
        <v>44999</v>
      </c>
    </row>
    <row r="216" customFormat="false" ht="305.25" hidden="false" customHeight="false" outlineLevel="0" collapsed="false">
      <c r="A216" s="12" t="s">
        <v>34</v>
      </c>
      <c r="B216" s="12" t="s">
        <v>1676</v>
      </c>
      <c r="C216" s="13" t="s">
        <v>1677</v>
      </c>
      <c r="D216" s="14" t="s">
        <v>65</v>
      </c>
      <c r="E216" s="14" t="s">
        <v>66</v>
      </c>
      <c r="F216" s="14" t="n">
        <v>1</v>
      </c>
      <c r="G216" s="14" t="n">
        <v>1</v>
      </c>
      <c r="H216" s="15" t="n">
        <v>51</v>
      </c>
      <c r="I216" s="15" t="n">
        <v>51</v>
      </c>
      <c r="J216" s="23" t="s">
        <v>1678</v>
      </c>
      <c r="K216" s="45" t="n">
        <v>215</v>
      </c>
      <c r="L216" s="17" t="s">
        <v>68</v>
      </c>
      <c r="M216" s="17" t="n">
        <v>21000000223</v>
      </c>
      <c r="N216" s="18" t="s">
        <v>1679</v>
      </c>
      <c r="O216" s="17" t="s">
        <v>703</v>
      </c>
      <c r="P216" s="17" t="n">
        <f aca="false">SUM(R216:AP216)</f>
        <v>1</v>
      </c>
      <c r="Q216" s="17" t="s">
        <v>71</v>
      </c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 t="n">
        <v>1</v>
      </c>
      <c r="AJ216" s="17"/>
      <c r="AK216" s="17"/>
      <c r="AL216" s="17"/>
      <c r="AM216" s="17"/>
      <c r="AN216" s="17"/>
      <c r="AO216" s="17"/>
      <c r="AP216" s="17"/>
      <c r="AQ216" s="19" t="s">
        <v>1679</v>
      </c>
      <c r="AR216" s="17" t="s">
        <v>1633</v>
      </c>
      <c r="AS216" s="20" t="n">
        <f aca="false">AVERAGE(AV216,BB216,BH216)</f>
        <v>139.41</v>
      </c>
      <c r="AT216" s="21" t="n">
        <f aca="false">(AS216*1.3)</f>
        <v>181.233</v>
      </c>
      <c r="AU216" s="110" t="s">
        <v>107</v>
      </c>
      <c r="AV216" s="20" t="n">
        <v>157.8</v>
      </c>
      <c r="AW216" s="23" t="s">
        <v>1680</v>
      </c>
      <c r="AX216" s="76" t="s">
        <v>109</v>
      </c>
      <c r="AY216" s="17" t="s">
        <v>253</v>
      </c>
      <c r="AZ216" s="80" t="n">
        <v>44999</v>
      </c>
      <c r="BA216" s="111" t="s">
        <v>87</v>
      </c>
      <c r="BB216" s="20" t="n">
        <v>121.02</v>
      </c>
      <c r="BC216" s="23" t="s">
        <v>1681</v>
      </c>
      <c r="BD216" s="76" t="s">
        <v>610</v>
      </c>
      <c r="BE216" s="17" t="s">
        <v>255</v>
      </c>
      <c r="BF216" s="80" t="n">
        <v>44999</v>
      </c>
      <c r="BG216" s="11"/>
      <c r="BH216" s="20"/>
      <c r="BI216" s="17"/>
      <c r="BJ216" s="17"/>
      <c r="BK216" s="17"/>
      <c r="BL216" s="17"/>
    </row>
    <row r="217" customFormat="false" ht="417.75" hidden="false" customHeight="false" outlineLevel="0" collapsed="false">
      <c r="A217" s="28" t="s">
        <v>22</v>
      </c>
      <c r="B217" s="28" t="s">
        <v>1682</v>
      </c>
      <c r="C217" s="29" t="s">
        <v>1683</v>
      </c>
      <c r="D217" s="30" t="s">
        <v>65</v>
      </c>
      <c r="E217" s="30" t="s">
        <v>66</v>
      </c>
      <c r="F217" s="30" t="n">
        <v>100</v>
      </c>
      <c r="G217" s="30" t="n">
        <v>100</v>
      </c>
      <c r="H217" s="31" t="n">
        <v>7.5</v>
      </c>
      <c r="I217" s="31" t="n">
        <v>750</v>
      </c>
      <c r="J217" s="32" t="s">
        <v>1684</v>
      </c>
      <c r="K217" s="49" t="n">
        <v>216</v>
      </c>
      <c r="L217" s="33" t="s">
        <v>68</v>
      </c>
      <c r="M217" s="33" t="n">
        <v>21000000222</v>
      </c>
      <c r="N217" s="34" t="s">
        <v>1685</v>
      </c>
      <c r="O217" s="33" t="s">
        <v>70</v>
      </c>
      <c r="P217" s="33" t="n">
        <f aca="false">SUM(R217:AP217)</f>
        <v>100</v>
      </c>
      <c r="Q217" s="33" t="s">
        <v>71</v>
      </c>
      <c r="R217" s="33"/>
      <c r="S217" s="33"/>
      <c r="T217" s="33"/>
      <c r="U217" s="33"/>
      <c r="V217" s="33"/>
      <c r="W217" s="33" t="n">
        <v>100</v>
      </c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0"/>
      <c r="AP217" s="33"/>
      <c r="AQ217" s="35" t="s">
        <v>1685</v>
      </c>
      <c r="AR217" s="33" t="s">
        <v>1633</v>
      </c>
      <c r="AS217" s="36" t="n">
        <f aca="false">AVERAGE(AV217,BB217,BH217)</f>
        <v>14.0498666666667</v>
      </c>
      <c r="AT217" s="21" t="n">
        <f aca="false">(AS217*1.3)</f>
        <v>18.2648266666667</v>
      </c>
      <c r="AU217" s="110" t="s">
        <v>128</v>
      </c>
      <c r="AV217" s="36" t="n">
        <f aca="false">341.47/25</f>
        <v>13.6588</v>
      </c>
      <c r="AW217" s="38" t="s">
        <v>1686</v>
      </c>
      <c r="AX217" s="109" t="s">
        <v>130</v>
      </c>
      <c r="AY217" s="33" t="s">
        <v>1209</v>
      </c>
      <c r="AZ217" s="74" t="n">
        <v>44999</v>
      </c>
      <c r="BA217" s="111" t="s">
        <v>107</v>
      </c>
      <c r="BB217" s="36" t="n">
        <f aca="false">376.42/25</f>
        <v>15.0568</v>
      </c>
      <c r="BC217" s="38" t="s">
        <v>1687</v>
      </c>
      <c r="BD217" s="109" t="s">
        <v>109</v>
      </c>
      <c r="BE217" s="33" t="s">
        <v>253</v>
      </c>
      <c r="BF217" s="74" t="n">
        <v>44999</v>
      </c>
      <c r="BG217" s="108" t="s">
        <v>87</v>
      </c>
      <c r="BH217" s="36" t="n">
        <f aca="false">335.85/25</f>
        <v>13.434</v>
      </c>
      <c r="BI217" s="38" t="s">
        <v>1688</v>
      </c>
      <c r="BJ217" s="109" t="s">
        <v>610</v>
      </c>
      <c r="BK217" s="33" t="s">
        <v>255</v>
      </c>
      <c r="BL217" s="74" t="n">
        <v>44999</v>
      </c>
    </row>
    <row r="218" customFormat="false" ht="429" hidden="false" customHeight="false" outlineLevel="0" collapsed="false">
      <c r="A218" s="12" t="s">
        <v>22</v>
      </c>
      <c r="B218" s="12" t="s">
        <v>1689</v>
      </c>
      <c r="C218" s="13" t="s">
        <v>1690</v>
      </c>
      <c r="D218" s="14" t="s">
        <v>65</v>
      </c>
      <c r="E218" s="14" t="s">
        <v>66</v>
      </c>
      <c r="F218" s="14" t="n">
        <v>3000</v>
      </c>
      <c r="G218" s="14" t="n">
        <v>3000</v>
      </c>
      <c r="H218" s="15" t="n">
        <v>0.04</v>
      </c>
      <c r="I218" s="15" t="n">
        <v>120</v>
      </c>
      <c r="J218" s="23" t="s">
        <v>1691</v>
      </c>
      <c r="K218" s="45" t="n">
        <v>217</v>
      </c>
      <c r="L218" s="17" t="s">
        <v>68</v>
      </c>
      <c r="M218" s="17" t="n">
        <v>21000000342</v>
      </c>
      <c r="N218" s="18" t="s">
        <v>1692</v>
      </c>
      <c r="O218" s="17" t="s">
        <v>70</v>
      </c>
      <c r="P218" s="17" t="n">
        <f aca="false">SUM(R218:AP218)</f>
        <v>14000</v>
      </c>
      <c r="Q218" s="17" t="s">
        <v>71</v>
      </c>
      <c r="R218" s="17"/>
      <c r="S218" s="17"/>
      <c r="T218" s="17"/>
      <c r="U218" s="17"/>
      <c r="V218" s="17"/>
      <c r="W218" s="17" t="n">
        <v>3000</v>
      </c>
      <c r="X218" s="17"/>
      <c r="Y218" s="17"/>
      <c r="Z218" s="17"/>
      <c r="AA218" s="17" t="n">
        <v>3000</v>
      </c>
      <c r="AB218" s="17"/>
      <c r="AC218" s="17"/>
      <c r="AD218" s="17"/>
      <c r="AE218" s="17"/>
      <c r="AF218" s="17"/>
      <c r="AG218" s="17"/>
      <c r="AH218" s="17"/>
      <c r="AI218" s="14" t="n">
        <v>1000</v>
      </c>
      <c r="AJ218" s="17"/>
      <c r="AK218" s="17"/>
      <c r="AL218" s="17"/>
      <c r="AM218" s="17"/>
      <c r="AN218" s="17"/>
      <c r="AO218" s="17" t="n">
        <v>2000</v>
      </c>
      <c r="AP218" s="17" t="n">
        <v>5000</v>
      </c>
      <c r="AQ218" s="19" t="s">
        <v>1692</v>
      </c>
      <c r="AR218" s="17" t="s">
        <v>1633</v>
      </c>
      <c r="AS218" s="20" t="n">
        <f aca="false">AVERAGE(AV218,BB218,BH218)</f>
        <v>0.03864</v>
      </c>
      <c r="AT218" s="21" t="n">
        <f aca="false">(AS218*1.3)</f>
        <v>0.050232</v>
      </c>
      <c r="AU218" s="110" t="s">
        <v>107</v>
      </c>
      <c r="AV218" s="20" t="n">
        <f aca="false">40.24/1000</f>
        <v>0.04024</v>
      </c>
      <c r="AW218" s="23" t="s">
        <v>1693</v>
      </c>
      <c r="AX218" s="76" t="s">
        <v>109</v>
      </c>
      <c r="AY218" s="17" t="s">
        <v>1014</v>
      </c>
      <c r="AZ218" s="80" t="n">
        <v>44999</v>
      </c>
      <c r="BA218" s="111" t="s">
        <v>128</v>
      </c>
      <c r="BB218" s="20" t="n">
        <f aca="false">42.76/1000</f>
        <v>0.04276</v>
      </c>
      <c r="BC218" s="23" t="s">
        <v>1694</v>
      </c>
      <c r="BD218" s="76" t="s">
        <v>130</v>
      </c>
      <c r="BE218" s="17" t="s">
        <v>253</v>
      </c>
      <c r="BF218" s="80" t="n">
        <v>44999</v>
      </c>
      <c r="BG218" s="108" t="s">
        <v>157</v>
      </c>
      <c r="BH218" s="20" t="n">
        <f aca="false">32.92/1000</f>
        <v>0.03292</v>
      </c>
      <c r="BI218" s="23" t="s">
        <v>1695</v>
      </c>
      <c r="BJ218" s="76" t="s">
        <v>159</v>
      </c>
      <c r="BK218" s="17" t="s">
        <v>1696</v>
      </c>
      <c r="BL218" s="80" t="n">
        <v>44999</v>
      </c>
    </row>
    <row r="219" customFormat="false" ht="429" hidden="false" customHeight="false" outlineLevel="0" collapsed="false">
      <c r="A219" s="28" t="s">
        <v>25</v>
      </c>
      <c r="B219" s="28" t="s">
        <v>1697</v>
      </c>
      <c r="C219" s="29" t="n">
        <v>346778</v>
      </c>
      <c r="D219" s="30" t="s">
        <v>65</v>
      </c>
      <c r="E219" s="30" t="s">
        <v>66</v>
      </c>
      <c r="F219" s="30" t="n">
        <v>500</v>
      </c>
      <c r="G219" s="30" t="n">
        <v>500</v>
      </c>
      <c r="H219" s="31" t="n">
        <v>0.2</v>
      </c>
      <c r="I219" s="31" t="n">
        <v>100</v>
      </c>
      <c r="J219" s="38" t="s">
        <v>1698</v>
      </c>
      <c r="K219" s="49" t="n">
        <v>218</v>
      </c>
      <c r="L219" s="33" t="s">
        <v>68</v>
      </c>
      <c r="M219" s="33" t="n">
        <v>21000000208</v>
      </c>
      <c r="N219" s="34" t="s">
        <v>1699</v>
      </c>
      <c r="O219" s="33" t="s">
        <v>70</v>
      </c>
      <c r="P219" s="33" t="n">
        <f aca="false">SUM(R219:AP219)</f>
        <v>1500</v>
      </c>
      <c r="Q219" s="33" t="s">
        <v>71</v>
      </c>
      <c r="R219" s="33"/>
      <c r="S219" s="33"/>
      <c r="T219" s="33"/>
      <c r="U219" s="33"/>
      <c r="V219" s="33"/>
      <c r="W219" s="33"/>
      <c r="X219" s="33"/>
      <c r="Y219" s="33"/>
      <c r="Z219" s="33" t="n">
        <v>500</v>
      </c>
      <c r="AA219" s="33" t="n">
        <v>1000</v>
      </c>
      <c r="AB219" s="33"/>
      <c r="AC219" s="33"/>
      <c r="AD219" s="33"/>
      <c r="AE219" s="33"/>
      <c r="AF219" s="33"/>
      <c r="AG219" s="33"/>
      <c r="AH219" s="33"/>
      <c r="AI219" s="30"/>
      <c r="AJ219" s="33"/>
      <c r="AK219" s="33"/>
      <c r="AL219" s="33"/>
      <c r="AM219" s="33"/>
      <c r="AN219" s="33"/>
      <c r="AO219" s="33"/>
      <c r="AP219" s="33"/>
      <c r="AQ219" s="35" t="s">
        <v>1699</v>
      </c>
      <c r="AR219" s="33" t="s">
        <v>1633</v>
      </c>
      <c r="AS219" s="36" t="n">
        <f aca="false">AVERAGE(AV219,BB219,BH219)</f>
        <v>0.05698</v>
      </c>
      <c r="AT219" s="21" t="n">
        <f aca="false">(AS219*1.3)</f>
        <v>0.074074</v>
      </c>
      <c r="AU219" s="110" t="s">
        <v>87</v>
      </c>
      <c r="AV219" s="36" t="n">
        <f aca="false">27.91/500</f>
        <v>0.05582</v>
      </c>
      <c r="AW219" s="38" t="s">
        <v>1700</v>
      </c>
      <c r="AX219" s="109" t="s">
        <v>610</v>
      </c>
      <c r="AY219" s="33" t="s">
        <v>255</v>
      </c>
      <c r="AZ219" s="74" t="n">
        <v>44999</v>
      </c>
      <c r="BA219" s="111" t="s">
        <v>104</v>
      </c>
      <c r="BB219" s="36" t="n">
        <f aca="false">28.2/500</f>
        <v>0.0564</v>
      </c>
      <c r="BC219" s="38" t="s">
        <v>1701</v>
      </c>
      <c r="BD219" s="109" t="s">
        <v>420</v>
      </c>
      <c r="BE219" s="33" t="s">
        <v>253</v>
      </c>
      <c r="BF219" s="74" t="n">
        <v>44999</v>
      </c>
      <c r="BG219" s="108" t="s">
        <v>157</v>
      </c>
      <c r="BH219" s="36" t="n">
        <f aca="false">29.36/500</f>
        <v>0.05872</v>
      </c>
      <c r="BI219" s="38" t="s">
        <v>1702</v>
      </c>
      <c r="BJ219" s="109" t="s">
        <v>159</v>
      </c>
      <c r="BK219" s="33" t="s">
        <v>1696</v>
      </c>
      <c r="BL219" s="74" t="n">
        <v>44999</v>
      </c>
    </row>
    <row r="220" customFormat="false" ht="282.75" hidden="false" customHeight="false" outlineLevel="0" collapsed="false">
      <c r="A220" s="12" t="s">
        <v>34</v>
      </c>
      <c r="B220" s="12" t="s">
        <v>1703</v>
      </c>
      <c r="C220" s="13" t="n">
        <v>360413</v>
      </c>
      <c r="D220" s="14" t="s">
        <v>65</v>
      </c>
      <c r="E220" s="14" t="s">
        <v>66</v>
      </c>
      <c r="F220" s="14" t="n">
        <v>1</v>
      </c>
      <c r="G220" s="14" t="n">
        <v>1</v>
      </c>
      <c r="H220" s="15" t="n">
        <v>150</v>
      </c>
      <c r="I220" s="15" t="n">
        <v>150</v>
      </c>
      <c r="J220" s="23" t="s">
        <v>1704</v>
      </c>
      <c r="K220" s="45" t="n">
        <v>219</v>
      </c>
      <c r="L220" s="17" t="s">
        <v>68</v>
      </c>
      <c r="M220" s="17" t="n">
        <v>21000000585</v>
      </c>
      <c r="N220" s="18" t="s">
        <v>1705</v>
      </c>
      <c r="O220" s="17" t="s">
        <v>115</v>
      </c>
      <c r="P220" s="17" t="n">
        <f aca="false">SUM(R220:AP220)</f>
        <v>1</v>
      </c>
      <c r="Q220" s="17" t="s">
        <v>71</v>
      </c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 t="n">
        <v>1</v>
      </c>
      <c r="AJ220" s="17"/>
      <c r="AK220" s="14"/>
      <c r="AL220" s="17"/>
      <c r="AM220" s="17"/>
      <c r="AN220" s="17"/>
      <c r="AO220" s="17"/>
      <c r="AP220" s="17"/>
      <c r="AQ220" s="19" t="s">
        <v>1705</v>
      </c>
      <c r="AR220" s="17" t="s">
        <v>1633</v>
      </c>
      <c r="AS220" s="20" t="n">
        <f aca="false">AVERAGE(AV220,BB220,BH220)</f>
        <v>131.22</v>
      </c>
      <c r="AT220" s="21" t="n">
        <f aca="false">(AS220*1.3)</f>
        <v>170.586</v>
      </c>
      <c r="AU220" s="110" t="s">
        <v>555</v>
      </c>
      <c r="AV220" s="20" t="n">
        <v>144</v>
      </c>
      <c r="AW220" s="23" t="s">
        <v>1706</v>
      </c>
      <c r="AX220" s="76" t="s">
        <v>503</v>
      </c>
      <c r="AY220" s="17" t="s">
        <v>94</v>
      </c>
      <c r="AZ220" s="80" t="n">
        <v>44999</v>
      </c>
      <c r="BA220" s="111" t="s">
        <v>128</v>
      </c>
      <c r="BB220" s="20" t="n">
        <v>116.33</v>
      </c>
      <c r="BC220" s="23" t="s">
        <v>1707</v>
      </c>
      <c r="BD220" s="76" t="s">
        <v>130</v>
      </c>
      <c r="BE220" s="17" t="s">
        <v>1209</v>
      </c>
      <c r="BF220" s="80" t="n">
        <v>44999</v>
      </c>
      <c r="BG220" s="108" t="s">
        <v>157</v>
      </c>
      <c r="BH220" s="20" t="n">
        <v>133.33</v>
      </c>
      <c r="BI220" s="23" t="s">
        <v>1708</v>
      </c>
      <c r="BJ220" s="76" t="s">
        <v>159</v>
      </c>
      <c r="BK220" s="17"/>
      <c r="BL220" s="80" t="n">
        <v>44999</v>
      </c>
    </row>
    <row r="221" customFormat="false" ht="462.75" hidden="false" customHeight="false" outlineLevel="0" collapsed="false">
      <c r="A221" s="28" t="s">
        <v>34</v>
      </c>
      <c r="B221" s="28" t="s">
        <v>1709</v>
      </c>
      <c r="C221" s="29" t="s">
        <v>1710</v>
      </c>
      <c r="D221" s="30" t="s">
        <v>65</v>
      </c>
      <c r="E221" s="30" t="s">
        <v>66</v>
      </c>
      <c r="F221" s="30" t="n">
        <v>500</v>
      </c>
      <c r="G221" s="30" t="n">
        <v>500</v>
      </c>
      <c r="H221" s="31" t="n">
        <v>2.99</v>
      </c>
      <c r="I221" s="31" t="n">
        <v>1495</v>
      </c>
      <c r="J221" s="38" t="s">
        <v>1711</v>
      </c>
      <c r="K221" s="49" t="n">
        <v>220</v>
      </c>
      <c r="L221" s="33" t="s">
        <v>68</v>
      </c>
      <c r="M221" s="33" t="n">
        <v>21000000212</v>
      </c>
      <c r="N221" s="34" t="s">
        <v>1712</v>
      </c>
      <c r="O221" s="33" t="s">
        <v>70</v>
      </c>
      <c r="P221" s="33" t="n">
        <f aca="false">SUM(R221:AP221)</f>
        <v>700</v>
      </c>
      <c r="Q221" s="33" t="s">
        <v>71</v>
      </c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 t="n">
        <v>500</v>
      </c>
      <c r="AJ221" s="33"/>
      <c r="AK221" s="33"/>
      <c r="AL221" s="33"/>
      <c r="AM221" s="33"/>
      <c r="AN221" s="33"/>
      <c r="AO221" s="30" t="n">
        <v>200</v>
      </c>
      <c r="AP221" s="33"/>
      <c r="AQ221" s="35" t="s">
        <v>1712</v>
      </c>
      <c r="AR221" s="33" t="s">
        <v>72</v>
      </c>
      <c r="AS221" s="36" t="n">
        <f aca="false">AVERAGE(AV221,BB221,BH221)</f>
        <v>3.316</v>
      </c>
      <c r="AT221" s="21" t="n">
        <f aca="false">(AS221*1.3)</f>
        <v>4.3108</v>
      </c>
      <c r="AU221" s="110" t="s">
        <v>107</v>
      </c>
      <c r="AV221" s="36" t="n">
        <f aca="false">1658 /500</f>
        <v>3.316</v>
      </c>
      <c r="AW221" s="38" t="s">
        <v>1713</v>
      </c>
      <c r="AX221" s="109" t="s">
        <v>109</v>
      </c>
      <c r="AY221" s="33" t="s">
        <v>1014</v>
      </c>
      <c r="AZ221" s="40" t="n">
        <v>44998</v>
      </c>
      <c r="BA221" s="10"/>
      <c r="BB221" s="36"/>
      <c r="BC221" s="33"/>
      <c r="BD221" s="33"/>
      <c r="BE221" s="33"/>
      <c r="BF221" s="33"/>
      <c r="BG221" s="11"/>
      <c r="BH221" s="36"/>
      <c r="BI221" s="33"/>
      <c r="BJ221" s="33"/>
      <c r="BK221" s="33"/>
      <c r="BL221" s="33"/>
    </row>
    <row r="222" customFormat="false" ht="440.25" hidden="false" customHeight="false" outlineLevel="0" collapsed="false">
      <c r="A222" s="12" t="s">
        <v>27</v>
      </c>
      <c r="B222" s="12" t="s">
        <v>1714</v>
      </c>
      <c r="C222" s="13" t="s">
        <v>1715</v>
      </c>
      <c r="D222" s="14" t="s">
        <v>65</v>
      </c>
      <c r="E222" s="14" t="s">
        <v>66</v>
      </c>
      <c r="F222" s="14" t="n">
        <v>3000</v>
      </c>
      <c r="G222" s="14" t="n">
        <v>1000</v>
      </c>
      <c r="H222" s="15" t="n">
        <v>0.03</v>
      </c>
      <c r="I222" s="15" t="n">
        <v>30</v>
      </c>
      <c r="J222" s="23" t="s">
        <v>1716</v>
      </c>
      <c r="K222" s="45" t="n">
        <v>221</v>
      </c>
      <c r="L222" s="17" t="s">
        <v>68</v>
      </c>
      <c r="M222" s="17" t="n">
        <v>21000000216</v>
      </c>
      <c r="N222" s="18" t="s">
        <v>1717</v>
      </c>
      <c r="O222" s="17" t="s">
        <v>70</v>
      </c>
      <c r="P222" s="17" t="n">
        <f aca="false">SUM(R222:AP222)</f>
        <v>1500</v>
      </c>
      <c r="Q222" s="17" t="s">
        <v>71</v>
      </c>
      <c r="R222" s="17"/>
      <c r="S222" s="17"/>
      <c r="T222" s="17"/>
      <c r="U222" s="17"/>
      <c r="V222" s="17"/>
      <c r="W222" s="17"/>
      <c r="X222" s="17"/>
      <c r="Y222" s="17"/>
      <c r="Z222" s="17"/>
      <c r="AA222" s="82"/>
      <c r="AB222" s="17" t="n">
        <v>1000</v>
      </c>
      <c r="AC222" s="17"/>
      <c r="AD222" s="17"/>
      <c r="AE222" s="17"/>
      <c r="AF222" s="17"/>
      <c r="AG222" s="17"/>
      <c r="AH222" s="17"/>
      <c r="AI222" s="17" t="n">
        <v>500</v>
      </c>
      <c r="AJ222" s="17"/>
      <c r="AK222" s="17"/>
      <c r="AL222" s="17"/>
      <c r="AM222" s="17"/>
      <c r="AN222" s="17"/>
      <c r="AO222" s="17"/>
      <c r="AP222" s="17"/>
      <c r="AQ222" s="19" t="s">
        <v>1717</v>
      </c>
      <c r="AR222" s="17" t="s">
        <v>72</v>
      </c>
      <c r="AS222" s="20" t="n">
        <f aca="false">AVERAGE(AV222,BB222,BH222)</f>
        <v>0.0550133333333333</v>
      </c>
      <c r="AT222" s="21" t="n">
        <f aca="false">(AS222*1.3)</f>
        <v>0.0715173333333333</v>
      </c>
      <c r="AU222" s="48" t="s">
        <v>555</v>
      </c>
      <c r="AV222" s="20" t="n">
        <f aca="false">48.6/1000</f>
        <v>0.0486</v>
      </c>
      <c r="AW222" s="16" t="s">
        <v>1718</v>
      </c>
      <c r="AX222" s="45" t="s">
        <v>503</v>
      </c>
      <c r="AY222" s="17" t="s">
        <v>289</v>
      </c>
      <c r="AZ222" s="25" t="n">
        <v>44998</v>
      </c>
      <c r="BA222" s="44" t="s">
        <v>125</v>
      </c>
      <c r="BB222" s="20" t="n">
        <f aca="false">62.44/1000</f>
        <v>0.06244</v>
      </c>
      <c r="BC222" s="23" t="s">
        <v>1719</v>
      </c>
      <c r="BD222" s="45" t="s">
        <v>127</v>
      </c>
      <c r="BE222" s="53" t="s">
        <v>110</v>
      </c>
      <c r="BF222" s="80" t="n">
        <v>44998</v>
      </c>
      <c r="BG222" s="56" t="s">
        <v>175</v>
      </c>
      <c r="BH222" s="20" t="n">
        <f aca="false">54 /1000</f>
        <v>0.054</v>
      </c>
      <c r="BI222" s="23" t="s">
        <v>1720</v>
      </c>
      <c r="BJ222" s="45" t="s">
        <v>587</v>
      </c>
      <c r="BK222" s="17" t="s">
        <v>98</v>
      </c>
      <c r="BL222" s="25" t="n">
        <v>44998</v>
      </c>
    </row>
    <row r="223" customFormat="false" ht="462.75" hidden="false" customHeight="false" outlineLevel="0" collapsed="false">
      <c r="A223" s="28" t="s">
        <v>34</v>
      </c>
      <c r="B223" s="28" t="s">
        <v>1721</v>
      </c>
      <c r="C223" s="29" t="s">
        <v>1722</v>
      </c>
      <c r="D223" s="30" t="s">
        <v>65</v>
      </c>
      <c r="E223" s="30" t="s">
        <v>66</v>
      </c>
      <c r="F223" s="30" t="n">
        <v>2000</v>
      </c>
      <c r="G223" s="30" t="n">
        <v>2000</v>
      </c>
      <c r="H223" s="31" t="n">
        <v>0.07</v>
      </c>
      <c r="I223" s="31" t="n">
        <v>140</v>
      </c>
      <c r="J223" s="38" t="s">
        <v>1723</v>
      </c>
      <c r="K223" s="49" t="n">
        <v>222</v>
      </c>
      <c r="L223" s="33" t="s">
        <v>68</v>
      </c>
      <c r="M223" s="33" t="n">
        <v>21000000217</v>
      </c>
      <c r="N223" s="34" t="s">
        <v>1724</v>
      </c>
      <c r="O223" s="33" t="s">
        <v>70</v>
      </c>
      <c r="P223" s="33" t="n">
        <f aca="false">SUM(R223:AP223)</f>
        <v>2000</v>
      </c>
      <c r="Q223" s="33" t="s">
        <v>71</v>
      </c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 t="n">
        <v>2000</v>
      </c>
      <c r="AJ223" s="33"/>
      <c r="AK223" s="33"/>
      <c r="AL223" s="33"/>
      <c r="AM223" s="33"/>
      <c r="AN223" s="33"/>
      <c r="AO223" s="33"/>
      <c r="AP223" s="33"/>
      <c r="AQ223" s="35" t="s">
        <v>1724</v>
      </c>
      <c r="AR223" s="33" t="s">
        <v>1633</v>
      </c>
      <c r="AS223" s="36" t="n">
        <f aca="false">AVERAGE(AV223,BB223,BH223)</f>
        <v>0.07623</v>
      </c>
      <c r="AT223" s="21" t="n">
        <f aca="false">(AS223*1.3)</f>
        <v>0.099099</v>
      </c>
      <c r="AU223" s="110" t="s">
        <v>128</v>
      </c>
      <c r="AV223" s="36" t="n">
        <f aca="false">65.6/1000</f>
        <v>0.0656</v>
      </c>
      <c r="AW223" s="114" t="s">
        <v>1725</v>
      </c>
      <c r="AX223" s="109" t="s">
        <v>130</v>
      </c>
      <c r="AY223" s="33" t="s">
        <v>1209</v>
      </c>
      <c r="AZ223" s="74" t="n">
        <v>44998</v>
      </c>
      <c r="BA223" s="111" t="s">
        <v>87</v>
      </c>
      <c r="BB223" s="36" t="n">
        <f aca="false">43.43/500</f>
        <v>0.08686</v>
      </c>
      <c r="BC223" s="38" t="s">
        <v>1726</v>
      </c>
      <c r="BD223" s="109" t="s">
        <v>610</v>
      </c>
      <c r="BE223" s="33" t="s">
        <v>1727</v>
      </c>
      <c r="BF223" s="74" t="n">
        <v>44998</v>
      </c>
      <c r="BG223" s="11"/>
      <c r="BH223" s="36"/>
      <c r="BI223" s="33"/>
      <c r="BJ223" s="33"/>
      <c r="BK223" s="33"/>
      <c r="BL223" s="33"/>
    </row>
    <row r="224" customFormat="false" ht="462.75" hidden="false" customHeight="false" outlineLevel="0" collapsed="false">
      <c r="A224" s="12" t="s">
        <v>18</v>
      </c>
      <c r="B224" s="12" t="s">
        <v>1728</v>
      </c>
      <c r="C224" s="13" t="n">
        <v>366478</v>
      </c>
      <c r="D224" s="14" t="s">
        <v>65</v>
      </c>
      <c r="E224" s="14" t="s">
        <v>66</v>
      </c>
      <c r="F224" s="14" t="n">
        <v>500</v>
      </c>
      <c r="G224" s="14" t="n">
        <v>500</v>
      </c>
      <c r="H224" s="15" t="n">
        <v>0.06</v>
      </c>
      <c r="I224" s="15" t="n">
        <v>30</v>
      </c>
      <c r="J224" s="23" t="s">
        <v>1729</v>
      </c>
      <c r="K224" s="45" t="n">
        <v>223</v>
      </c>
      <c r="L224" s="17" t="s">
        <v>68</v>
      </c>
      <c r="M224" s="17" t="n">
        <v>21000000211</v>
      </c>
      <c r="N224" s="18" t="s">
        <v>1730</v>
      </c>
      <c r="O224" s="17" t="s">
        <v>70</v>
      </c>
      <c r="P224" s="17" t="n">
        <f aca="false">SUM(R224:AP224)</f>
        <v>11500</v>
      </c>
      <c r="Q224" s="17" t="s">
        <v>71</v>
      </c>
      <c r="R224" s="17"/>
      <c r="S224" s="17" t="n">
        <v>500</v>
      </c>
      <c r="T224" s="17"/>
      <c r="U224" s="17"/>
      <c r="V224" s="17"/>
      <c r="W224" s="17"/>
      <c r="X224" s="17"/>
      <c r="Y224" s="17"/>
      <c r="Z224" s="17"/>
      <c r="AA224" s="82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 t="n">
        <v>1500</v>
      </c>
      <c r="AL224" s="17"/>
      <c r="AM224" s="17"/>
      <c r="AN224" s="17"/>
      <c r="AO224" s="17" t="n">
        <v>2000</v>
      </c>
      <c r="AP224" s="17" t="n">
        <v>7500</v>
      </c>
      <c r="AQ224" s="19" t="s">
        <v>1730</v>
      </c>
      <c r="AR224" s="17" t="s">
        <v>1633</v>
      </c>
      <c r="AS224" s="20" t="n">
        <f aca="false">AVERAGE(AV224,BB224,BH224)</f>
        <v>0.0458666666666667</v>
      </c>
      <c r="AT224" s="21" t="n">
        <f aca="false">(AS224*1.3)</f>
        <v>0.0596266666666667</v>
      </c>
      <c r="AU224" s="110" t="s">
        <v>128</v>
      </c>
      <c r="AV224" s="20" t="n">
        <f aca="false">30.6/500</f>
        <v>0.0612</v>
      </c>
      <c r="AW224" s="23" t="s">
        <v>1731</v>
      </c>
      <c r="AX224" s="76" t="s">
        <v>130</v>
      </c>
      <c r="AY224" s="17" t="s">
        <v>1209</v>
      </c>
      <c r="AZ224" s="80" t="n">
        <v>44998</v>
      </c>
      <c r="BA224" s="111" t="s">
        <v>107</v>
      </c>
      <c r="BB224" s="20" t="n">
        <f aca="false">39.18/1000</f>
        <v>0.03918</v>
      </c>
      <c r="BC224" s="23" t="s">
        <v>1732</v>
      </c>
      <c r="BD224" s="76" t="s">
        <v>109</v>
      </c>
      <c r="BE224" s="17" t="s">
        <v>110</v>
      </c>
      <c r="BF224" s="80" t="n">
        <v>44998</v>
      </c>
      <c r="BG224" s="108" t="s">
        <v>104</v>
      </c>
      <c r="BH224" s="20" t="n">
        <f aca="false">37.22/1000</f>
        <v>0.03722</v>
      </c>
      <c r="BI224" s="23" t="s">
        <v>1733</v>
      </c>
      <c r="BJ224" s="76" t="s">
        <v>420</v>
      </c>
      <c r="BK224" s="17" t="s">
        <v>253</v>
      </c>
      <c r="BL224" s="80" t="n">
        <v>44998</v>
      </c>
    </row>
    <row r="225" customFormat="false" ht="305.25" hidden="false" customHeight="false" outlineLevel="0" collapsed="false">
      <c r="A225" s="28" t="s">
        <v>34</v>
      </c>
      <c r="B225" s="28" t="s">
        <v>1734</v>
      </c>
      <c r="C225" s="29" t="s">
        <v>1735</v>
      </c>
      <c r="D225" s="30" t="s">
        <v>65</v>
      </c>
      <c r="E225" s="30" t="s">
        <v>66</v>
      </c>
      <c r="F225" s="30" t="n">
        <v>1</v>
      </c>
      <c r="G225" s="30" t="n">
        <v>1</v>
      </c>
      <c r="H225" s="31" t="n">
        <v>710</v>
      </c>
      <c r="I225" s="31" t="n">
        <v>710</v>
      </c>
      <c r="J225" s="32" t="s">
        <v>1736</v>
      </c>
      <c r="K225" s="49" t="n">
        <v>224</v>
      </c>
      <c r="L225" s="33" t="s">
        <v>68</v>
      </c>
      <c r="M225" s="33" t="n">
        <v>21000000219</v>
      </c>
      <c r="N225" s="34" t="s">
        <v>1737</v>
      </c>
      <c r="O225" s="33" t="s">
        <v>115</v>
      </c>
      <c r="P225" s="33" t="n">
        <f aca="false">SUM(R225:AP225)</f>
        <v>3</v>
      </c>
      <c r="Q225" s="33" t="s">
        <v>71</v>
      </c>
      <c r="R225" s="33"/>
      <c r="S225" s="33"/>
      <c r="T225" s="33"/>
      <c r="U225" s="33"/>
      <c r="V225" s="33"/>
      <c r="W225" s="33"/>
      <c r="X225" s="33"/>
      <c r="Y225" s="33"/>
      <c r="Z225" s="33"/>
      <c r="AA225" s="33" t="n">
        <v>2</v>
      </c>
      <c r="AB225" s="33"/>
      <c r="AC225" s="33"/>
      <c r="AD225" s="33"/>
      <c r="AE225" s="33"/>
      <c r="AF225" s="33"/>
      <c r="AG225" s="33"/>
      <c r="AH225" s="33"/>
      <c r="AI225" s="33" t="n">
        <v>1</v>
      </c>
      <c r="AJ225" s="33"/>
      <c r="AK225" s="33"/>
      <c r="AL225" s="33"/>
      <c r="AM225" s="33"/>
      <c r="AN225" s="33"/>
      <c r="AO225" s="33"/>
      <c r="AP225" s="33"/>
      <c r="AQ225" s="35" t="s">
        <v>1737</v>
      </c>
      <c r="AR225" s="33" t="s">
        <v>1633</v>
      </c>
      <c r="AS225" s="36" t="n">
        <f aca="false">AVERAGE(AV225,BB225,BH225)</f>
        <v>586.53</v>
      </c>
      <c r="AT225" s="21" t="n">
        <f aca="false">(AS225*1.3)</f>
        <v>762.489</v>
      </c>
      <c r="AU225" s="110" t="s">
        <v>128</v>
      </c>
      <c r="AV225" s="36" t="n">
        <v>586.53</v>
      </c>
      <c r="AW225" s="38" t="s">
        <v>1738</v>
      </c>
      <c r="AX225" s="109" t="s">
        <v>130</v>
      </c>
      <c r="AY225" s="33" t="s">
        <v>1209</v>
      </c>
      <c r="AZ225" s="74" t="n">
        <v>44998</v>
      </c>
      <c r="BA225" s="10"/>
      <c r="BB225" s="36"/>
      <c r="BC225" s="33"/>
      <c r="BD225" s="33"/>
      <c r="BE225" s="33"/>
      <c r="BF225" s="33"/>
      <c r="BG225" s="11"/>
      <c r="BH225" s="36"/>
      <c r="BI225" s="33"/>
      <c r="BJ225" s="33"/>
      <c r="BK225" s="33"/>
      <c r="BL225" s="33"/>
    </row>
    <row r="226" customFormat="false" ht="372.75" hidden="false" customHeight="false" outlineLevel="0" collapsed="false">
      <c r="A226" s="12" t="s">
        <v>36</v>
      </c>
      <c r="B226" s="12" t="s">
        <v>1739</v>
      </c>
      <c r="C226" s="13" t="s">
        <v>1740</v>
      </c>
      <c r="D226" s="14" t="s">
        <v>65</v>
      </c>
      <c r="E226" s="14" t="s">
        <v>66</v>
      </c>
      <c r="F226" s="14" t="n">
        <v>1</v>
      </c>
      <c r="G226" s="14" t="n">
        <v>200</v>
      </c>
      <c r="H226" s="15" t="n">
        <v>100</v>
      </c>
      <c r="I226" s="15" t="n">
        <v>200</v>
      </c>
      <c r="J226" s="16" t="s">
        <v>1741</v>
      </c>
      <c r="K226" s="45" t="n">
        <v>225</v>
      </c>
      <c r="L226" s="17" t="s">
        <v>68</v>
      </c>
      <c r="M226" s="17" t="n">
        <v>21000000351</v>
      </c>
      <c r="N226" s="18" t="s">
        <v>1742</v>
      </c>
      <c r="O226" s="17" t="s">
        <v>70</v>
      </c>
      <c r="P226" s="17" t="n">
        <f aca="false">SUM(R226:AP226)</f>
        <v>200</v>
      </c>
      <c r="Q226" s="17" t="s">
        <v>71</v>
      </c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4"/>
      <c r="AC226" s="17"/>
      <c r="AD226" s="17"/>
      <c r="AE226" s="17"/>
      <c r="AF226" s="17"/>
      <c r="AG226" s="17"/>
      <c r="AH226" s="17"/>
      <c r="AI226" s="17"/>
      <c r="AJ226" s="17"/>
      <c r="AK226" s="17" t="n">
        <v>200</v>
      </c>
      <c r="AL226" s="17"/>
      <c r="AM226" s="17"/>
      <c r="AN226" s="17"/>
      <c r="AO226" s="17"/>
      <c r="AP226" s="17"/>
      <c r="AQ226" s="19" t="s">
        <v>1742</v>
      </c>
      <c r="AR226" s="17" t="s">
        <v>1633</v>
      </c>
      <c r="AS226" s="20" t="n">
        <f aca="false">AVERAGE(AV226,BB226,BH226)</f>
        <v>1.06726666666667</v>
      </c>
      <c r="AT226" s="21" t="n">
        <f aca="false">(AS226*1.3)</f>
        <v>1.38744666666667</v>
      </c>
      <c r="AU226" s="110" t="s">
        <v>128</v>
      </c>
      <c r="AV226" s="20" t="n">
        <f aca="false">100.18/100</f>
        <v>1.0018</v>
      </c>
      <c r="AW226" s="23" t="s">
        <v>1743</v>
      </c>
      <c r="AX226" s="76" t="s">
        <v>130</v>
      </c>
      <c r="AY226" s="17" t="s">
        <v>1209</v>
      </c>
      <c r="AZ226" s="80" t="n">
        <v>44998</v>
      </c>
      <c r="BA226" s="111" t="s">
        <v>287</v>
      </c>
      <c r="BB226" s="20" t="n">
        <f aca="false">120/100</f>
        <v>1.2</v>
      </c>
      <c r="BC226" s="115" t="s">
        <v>1744</v>
      </c>
      <c r="BD226" s="76" t="s">
        <v>134</v>
      </c>
      <c r="BE226" s="17" t="s">
        <v>731</v>
      </c>
      <c r="BF226" s="80" t="n">
        <v>44998</v>
      </c>
      <c r="BG226" s="108" t="s">
        <v>157</v>
      </c>
      <c r="BH226" s="20" t="n">
        <f aca="false">100/100</f>
        <v>1</v>
      </c>
      <c r="BI226" s="23" t="s">
        <v>1745</v>
      </c>
      <c r="BJ226" s="76" t="s">
        <v>159</v>
      </c>
      <c r="BK226" s="17" t="s">
        <v>1696</v>
      </c>
      <c r="BL226" s="80" t="n">
        <v>44998</v>
      </c>
    </row>
    <row r="227" customFormat="false" ht="384" hidden="false" customHeight="false" outlineLevel="0" collapsed="false">
      <c r="A227" s="28" t="s">
        <v>26</v>
      </c>
      <c r="B227" s="28" t="s">
        <v>1746</v>
      </c>
      <c r="C227" s="29" t="s">
        <v>1747</v>
      </c>
      <c r="D227" s="30" t="s">
        <v>65</v>
      </c>
      <c r="E227" s="30" t="s">
        <v>66</v>
      </c>
      <c r="F227" s="30" t="n">
        <v>1</v>
      </c>
      <c r="G227" s="30" t="n">
        <v>1000</v>
      </c>
      <c r="H227" s="31" t="n">
        <v>242</v>
      </c>
      <c r="I227" s="31" t="n">
        <v>242</v>
      </c>
      <c r="J227" s="32" t="s">
        <v>1748</v>
      </c>
      <c r="K227" s="49" t="n">
        <v>226</v>
      </c>
      <c r="L227" s="33" t="s">
        <v>68</v>
      </c>
      <c r="M227" s="33" t="n">
        <v>21000000220</v>
      </c>
      <c r="N227" s="34" t="s">
        <v>1749</v>
      </c>
      <c r="O227" s="33" t="s">
        <v>70</v>
      </c>
      <c r="P227" s="33" t="n">
        <f aca="false">SUM(R227:AP227)</f>
        <v>1000</v>
      </c>
      <c r="Q227" s="33" t="s">
        <v>71</v>
      </c>
      <c r="R227" s="33"/>
      <c r="S227" s="33"/>
      <c r="T227" s="33"/>
      <c r="U227" s="33"/>
      <c r="V227" s="33"/>
      <c r="W227" s="33"/>
      <c r="X227" s="33"/>
      <c r="Y227" s="33"/>
      <c r="Z227" s="33"/>
      <c r="AA227" s="33" t="n">
        <v>1000</v>
      </c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0"/>
      <c r="AQ227" s="35" t="s">
        <v>1750</v>
      </c>
      <c r="AR227" s="33" t="s">
        <v>1633</v>
      </c>
      <c r="AS227" s="36" t="n">
        <f aca="false">AVERAGE(AV227,BB227,BH227)</f>
        <v>4.111</v>
      </c>
      <c r="AT227" s="21" t="n">
        <f aca="false">(AS227*1.3)</f>
        <v>5.3443</v>
      </c>
      <c r="AU227" s="110" t="s">
        <v>128</v>
      </c>
      <c r="AV227" s="36" t="n">
        <f aca="false">105.57/25</f>
        <v>4.2228</v>
      </c>
      <c r="AW227" s="38" t="s">
        <v>1751</v>
      </c>
      <c r="AX227" s="109" t="s">
        <v>130</v>
      </c>
      <c r="AY227" s="33" t="s">
        <v>1209</v>
      </c>
      <c r="AZ227" s="74" t="n">
        <v>44998</v>
      </c>
      <c r="BA227" s="111" t="s">
        <v>107</v>
      </c>
      <c r="BB227" s="36" t="n">
        <f aca="false">95.34/25</f>
        <v>3.8136</v>
      </c>
      <c r="BC227" s="38" t="s">
        <v>1752</v>
      </c>
      <c r="BD227" s="109" t="s">
        <v>109</v>
      </c>
      <c r="BE227" s="33" t="s">
        <v>253</v>
      </c>
      <c r="BF227" s="74" t="n">
        <v>44998</v>
      </c>
      <c r="BG227" s="108" t="s">
        <v>128</v>
      </c>
      <c r="BH227" s="36" t="n">
        <f aca="false">214.83/50</f>
        <v>4.2966</v>
      </c>
      <c r="BI227" s="38" t="s">
        <v>1753</v>
      </c>
      <c r="BJ227" s="109" t="s">
        <v>130</v>
      </c>
      <c r="BK227" s="33" t="s">
        <v>98</v>
      </c>
      <c r="BL227" s="74" t="n">
        <v>44998</v>
      </c>
    </row>
    <row r="228" customFormat="false" ht="429" hidden="false" customHeight="false" outlineLevel="0" collapsed="false">
      <c r="A228" s="12" t="s">
        <v>26</v>
      </c>
      <c r="B228" s="12" t="s">
        <v>1754</v>
      </c>
      <c r="C228" s="13" t="s">
        <v>1755</v>
      </c>
      <c r="D228" s="14" t="s">
        <v>65</v>
      </c>
      <c r="E228" s="14" t="s">
        <v>66</v>
      </c>
      <c r="F228" s="14" t="n">
        <v>1</v>
      </c>
      <c r="G228" s="14" t="n">
        <v>1000</v>
      </c>
      <c r="H228" s="15" t="n">
        <v>375</v>
      </c>
      <c r="I228" s="15" t="n">
        <v>375</v>
      </c>
      <c r="J228" s="23" t="s">
        <v>1756</v>
      </c>
      <c r="K228" s="45" t="n">
        <v>227</v>
      </c>
      <c r="L228" s="17" t="s">
        <v>68</v>
      </c>
      <c r="M228" s="17" t="n">
        <v>21000000185</v>
      </c>
      <c r="N228" s="18" t="s">
        <v>1757</v>
      </c>
      <c r="O228" s="17" t="s">
        <v>70</v>
      </c>
      <c r="P228" s="17" t="n">
        <f aca="false">SUM(R228:AP228)</f>
        <v>1000</v>
      </c>
      <c r="Q228" s="17" t="s">
        <v>71</v>
      </c>
      <c r="R228" s="17"/>
      <c r="S228" s="17"/>
      <c r="T228" s="17"/>
      <c r="U228" s="17"/>
      <c r="V228" s="17"/>
      <c r="W228" s="17"/>
      <c r="X228" s="17"/>
      <c r="Y228" s="17"/>
      <c r="Z228" s="17"/>
      <c r="AA228" s="17" t="n">
        <v>1000</v>
      </c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4"/>
      <c r="AP228" s="17"/>
      <c r="AQ228" s="19" t="s">
        <v>1757</v>
      </c>
      <c r="AR228" s="17" t="s">
        <v>1633</v>
      </c>
      <c r="AS228" s="20" t="n">
        <f aca="false">AVERAGE(AV228,BB228,BH228)</f>
        <v>0.36334</v>
      </c>
      <c r="AT228" s="21" t="n">
        <f aca="false">(AS228*1.3)</f>
        <v>0.472342</v>
      </c>
      <c r="AU228" s="110" t="s">
        <v>87</v>
      </c>
      <c r="AV228" s="20" t="n">
        <f aca="false">187.11/500</f>
        <v>0.37422</v>
      </c>
      <c r="AW228" s="23" t="s">
        <v>1758</v>
      </c>
      <c r="AX228" s="76" t="s">
        <v>610</v>
      </c>
      <c r="AY228" s="17" t="s">
        <v>90</v>
      </c>
      <c r="AZ228" s="80" t="n">
        <v>44998</v>
      </c>
      <c r="BA228" s="111" t="s">
        <v>128</v>
      </c>
      <c r="BB228" s="20" t="n">
        <f aca="false">188.91/500</f>
        <v>0.37782</v>
      </c>
      <c r="BC228" s="23" t="s">
        <v>1759</v>
      </c>
      <c r="BD228" s="76" t="s">
        <v>130</v>
      </c>
      <c r="BE228" s="17" t="s">
        <v>1760</v>
      </c>
      <c r="BF228" s="80" t="n">
        <v>44998</v>
      </c>
      <c r="BG228" s="108" t="s">
        <v>128</v>
      </c>
      <c r="BH228" s="20" t="n">
        <f aca="false">168.99/500</f>
        <v>0.33798</v>
      </c>
      <c r="BI228" s="23" t="s">
        <v>1761</v>
      </c>
      <c r="BJ228" s="76" t="s">
        <v>130</v>
      </c>
      <c r="BK228" s="17" t="s">
        <v>98</v>
      </c>
      <c r="BL228" s="80" t="n">
        <v>44998</v>
      </c>
    </row>
    <row r="229" customFormat="false" ht="429" hidden="false" customHeight="false" outlineLevel="0" collapsed="false">
      <c r="A229" s="28" t="s">
        <v>25</v>
      </c>
      <c r="B229" s="28" t="s">
        <v>1762</v>
      </c>
      <c r="C229" s="29" t="n">
        <v>366490</v>
      </c>
      <c r="D229" s="30" t="s">
        <v>65</v>
      </c>
      <c r="E229" s="30" t="s">
        <v>66</v>
      </c>
      <c r="F229" s="30" t="n">
        <v>4</v>
      </c>
      <c r="G229" s="30" t="n">
        <v>2000</v>
      </c>
      <c r="H229" s="31" t="n">
        <v>30</v>
      </c>
      <c r="I229" s="31" t="n">
        <v>120</v>
      </c>
      <c r="J229" s="38" t="s">
        <v>1763</v>
      </c>
      <c r="K229" s="49" t="n">
        <v>228</v>
      </c>
      <c r="L229" s="33" t="s">
        <v>68</v>
      </c>
      <c r="M229" s="33" t="n">
        <v>21000000450</v>
      </c>
      <c r="N229" s="34" t="s">
        <v>1764</v>
      </c>
      <c r="O229" s="33" t="s">
        <v>70</v>
      </c>
      <c r="P229" s="33" t="n">
        <f aca="false">SUM(R229:AP229)</f>
        <v>2500</v>
      </c>
      <c r="Q229" s="33" t="s">
        <v>71</v>
      </c>
      <c r="R229" s="33"/>
      <c r="S229" s="33"/>
      <c r="T229" s="33"/>
      <c r="U229" s="33"/>
      <c r="V229" s="33"/>
      <c r="W229" s="33"/>
      <c r="X229" s="33"/>
      <c r="Y229" s="33"/>
      <c r="Z229" s="33" t="n">
        <v>2000</v>
      </c>
      <c r="AA229" s="33" t="n">
        <v>500</v>
      </c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0"/>
      <c r="AQ229" s="35" t="s">
        <v>1764</v>
      </c>
      <c r="AR229" s="33" t="s">
        <v>1633</v>
      </c>
      <c r="AS229" s="36" t="n">
        <f aca="false">AVERAGE(AV229,BB229,BH229)</f>
        <v>0.0437333333333333</v>
      </c>
      <c r="AT229" s="21" t="n">
        <f aca="false">(AS229*1.3)</f>
        <v>0.0568533333333333</v>
      </c>
      <c r="AU229" s="110" t="s">
        <v>175</v>
      </c>
      <c r="AV229" s="36" t="n">
        <f aca="false">32.9/1000</f>
        <v>0.0329</v>
      </c>
      <c r="AW229" s="38" t="s">
        <v>1765</v>
      </c>
      <c r="AX229" s="109" t="s">
        <v>587</v>
      </c>
      <c r="AY229" s="33" t="s">
        <v>94</v>
      </c>
      <c r="AZ229" s="33" t="s">
        <v>1766</v>
      </c>
      <c r="BA229" s="111" t="s">
        <v>128</v>
      </c>
      <c r="BB229" s="36" t="n">
        <f aca="false">50.64/1000</f>
        <v>0.05064</v>
      </c>
      <c r="BC229" s="38" t="s">
        <v>1767</v>
      </c>
      <c r="BD229" s="109" t="s">
        <v>130</v>
      </c>
      <c r="BE229" s="33" t="s">
        <v>253</v>
      </c>
      <c r="BF229" s="74" t="n">
        <v>44998</v>
      </c>
      <c r="BG229" s="108" t="s">
        <v>107</v>
      </c>
      <c r="BH229" s="36" t="n">
        <f aca="false">47.66/1000</f>
        <v>0.04766</v>
      </c>
      <c r="BI229" s="38" t="s">
        <v>1768</v>
      </c>
      <c r="BJ229" s="109" t="s">
        <v>109</v>
      </c>
      <c r="BK229" s="33" t="s">
        <v>253</v>
      </c>
      <c r="BL229" s="74" t="n">
        <v>44998</v>
      </c>
    </row>
    <row r="230" customFormat="false" ht="339" hidden="false" customHeight="false" outlineLevel="0" collapsed="false">
      <c r="A230" s="12" t="s">
        <v>22</v>
      </c>
      <c r="B230" s="12" t="s">
        <v>1769</v>
      </c>
      <c r="C230" s="13" t="s">
        <v>1770</v>
      </c>
      <c r="D230" s="14" t="s">
        <v>65</v>
      </c>
      <c r="E230" s="14" t="s">
        <v>66</v>
      </c>
      <c r="F230" s="14" t="n">
        <v>13</v>
      </c>
      <c r="G230" s="14" t="n">
        <v>13</v>
      </c>
      <c r="H230" s="15" t="n">
        <v>40</v>
      </c>
      <c r="I230" s="15" t="n">
        <v>520</v>
      </c>
      <c r="J230" s="23" t="s">
        <v>1771</v>
      </c>
      <c r="K230" s="45" t="n">
        <v>229</v>
      </c>
      <c r="L230" s="17" t="s">
        <v>68</v>
      </c>
      <c r="M230" s="17" t="n">
        <v>21000000174</v>
      </c>
      <c r="N230" s="18" t="s">
        <v>1772</v>
      </c>
      <c r="O230" s="17" t="s">
        <v>115</v>
      </c>
      <c r="P230" s="17" t="n">
        <f aca="false">SUM(R230:AP230)</f>
        <v>21</v>
      </c>
      <c r="Q230" s="17" t="s">
        <v>71</v>
      </c>
      <c r="R230" s="17"/>
      <c r="S230" s="17"/>
      <c r="T230" s="17"/>
      <c r="U230" s="17"/>
      <c r="V230" s="17"/>
      <c r="W230" s="17" t="n">
        <v>13</v>
      </c>
      <c r="X230" s="17"/>
      <c r="Y230" s="17"/>
      <c r="Z230" s="17"/>
      <c r="AA230" s="17"/>
      <c r="AB230" s="17" t="n">
        <v>8</v>
      </c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4"/>
      <c r="AP230" s="17"/>
      <c r="AQ230" s="19" t="s">
        <v>1772</v>
      </c>
      <c r="AR230" s="17" t="s">
        <v>1633</v>
      </c>
      <c r="AS230" s="20" t="n">
        <f aca="false">AVERAGE(AV230,BB230,BH230)</f>
        <v>53.415</v>
      </c>
      <c r="AT230" s="21" t="n">
        <f aca="false">(AS230*1.3)</f>
        <v>69.4395</v>
      </c>
      <c r="AU230" s="110" t="s">
        <v>157</v>
      </c>
      <c r="AV230" s="20" t="n">
        <v>50</v>
      </c>
      <c r="AW230" s="23" t="s">
        <v>1773</v>
      </c>
      <c r="AX230" s="76" t="s">
        <v>159</v>
      </c>
      <c r="AY230" s="17" t="s">
        <v>94</v>
      </c>
      <c r="AZ230" s="80" t="n">
        <v>44998</v>
      </c>
      <c r="BA230" s="111" t="s">
        <v>107</v>
      </c>
      <c r="BB230" s="20" t="n">
        <v>56.83</v>
      </c>
      <c r="BC230" s="23" t="s">
        <v>1774</v>
      </c>
      <c r="BD230" s="76" t="s">
        <v>109</v>
      </c>
      <c r="BE230" s="17" t="s">
        <v>253</v>
      </c>
      <c r="BF230" s="80" t="n">
        <v>44998</v>
      </c>
      <c r="BG230" s="11"/>
      <c r="BH230" s="20"/>
      <c r="BI230" s="17"/>
      <c r="BJ230" s="17"/>
      <c r="BK230" s="17"/>
      <c r="BL230" s="17"/>
    </row>
    <row r="231" customFormat="false" ht="260.25" hidden="false" customHeight="false" outlineLevel="0" collapsed="false">
      <c r="A231" s="28" t="s">
        <v>41</v>
      </c>
      <c r="B231" s="28" t="s">
        <v>1775</v>
      </c>
      <c r="C231" s="29" t="s">
        <v>1776</v>
      </c>
      <c r="D231" s="30" t="s">
        <v>65</v>
      </c>
      <c r="E231" s="30" t="s">
        <v>66</v>
      </c>
      <c r="F231" s="30" t="n">
        <v>10</v>
      </c>
      <c r="G231" s="30" t="n">
        <v>10</v>
      </c>
      <c r="H231" s="31" t="n">
        <v>140</v>
      </c>
      <c r="I231" s="31" t="n">
        <v>1400</v>
      </c>
      <c r="J231" s="38" t="s">
        <v>1777</v>
      </c>
      <c r="K231" s="49" t="n">
        <v>230</v>
      </c>
      <c r="L231" s="33" t="s">
        <v>68</v>
      </c>
      <c r="M231" s="33" t="n">
        <v>21000000505</v>
      </c>
      <c r="N231" s="34" t="s">
        <v>1778</v>
      </c>
      <c r="O231" s="33" t="s">
        <v>115</v>
      </c>
      <c r="P231" s="33" t="n">
        <f aca="false">SUM(R231:AP231)</f>
        <v>10</v>
      </c>
      <c r="Q231" s="33" t="s">
        <v>71</v>
      </c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 t="n">
        <v>10</v>
      </c>
      <c r="AQ231" s="35" t="s">
        <v>1778</v>
      </c>
      <c r="AR231" s="33" t="s">
        <v>1633</v>
      </c>
      <c r="AS231" s="36" t="n">
        <f aca="false">AVERAGE(AV231,BB231,BH231)</f>
        <v>87.7433333333333</v>
      </c>
      <c r="AT231" s="21" t="n">
        <f aca="false">(AS231*1.3)</f>
        <v>114.066333333333</v>
      </c>
      <c r="AU231" s="116" t="s">
        <v>1056</v>
      </c>
      <c r="AV231" s="36" t="n">
        <v>101.33</v>
      </c>
      <c r="AW231" s="38" t="s">
        <v>1779</v>
      </c>
      <c r="AX231" s="109" t="s">
        <v>1058</v>
      </c>
      <c r="AY231" s="33" t="s">
        <v>1209</v>
      </c>
      <c r="AZ231" s="74" t="n">
        <v>44998</v>
      </c>
      <c r="BA231" s="111" t="s">
        <v>107</v>
      </c>
      <c r="BB231" s="36" t="n">
        <v>77.2</v>
      </c>
      <c r="BC231" s="38" t="s">
        <v>1780</v>
      </c>
      <c r="BD231" s="109" t="s">
        <v>109</v>
      </c>
      <c r="BE231" s="33" t="s">
        <v>1696</v>
      </c>
      <c r="BF231" s="74" t="n">
        <v>44998</v>
      </c>
      <c r="BG231" s="117" t="s">
        <v>966</v>
      </c>
      <c r="BH231" s="36" t="n">
        <v>84.7</v>
      </c>
      <c r="BI231" s="38" t="s">
        <v>1781</v>
      </c>
      <c r="BJ231" s="18" t="s">
        <v>968</v>
      </c>
      <c r="BK231" s="33" t="s">
        <v>94</v>
      </c>
      <c r="BL231" s="74" t="n">
        <v>44998</v>
      </c>
    </row>
    <row r="232" customFormat="false" ht="406.5" hidden="false" customHeight="false" outlineLevel="0" collapsed="false">
      <c r="A232" s="12" t="s">
        <v>19</v>
      </c>
      <c r="B232" s="12" t="s">
        <v>1782</v>
      </c>
      <c r="C232" s="13" t="s">
        <v>1783</v>
      </c>
      <c r="D232" s="14" t="s">
        <v>65</v>
      </c>
      <c r="E232" s="14" t="s">
        <v>66</v>
      </c>
      <c r="F232" s="14" t="n">
        <v>10</v>
      </c>
      <c r="G232" s="14" t="n">
        <v>10</v>
      </c>
      <c r="H232" s="15" t="n">
        <v>250</v>
      </c>
      <c r="I232" s="15" t="n">
        <v>250</v>
      </c>
      <c r="J232" s="16" t="s">
        <v>1784</v>
      </c>
      <c r="K232" s="45" t="n">
        <v>231</v>
      </c>
      <c r="L232" s="17" t="s">
        <v>68</v>
      </c>
      <c r="M232" s="17" t="n">
        <v>21000000380</v>
      </c>
      <c r="N232" s="18" t="s">
        <v>1785</v>
      </c>
      <c r="O232" s="17" t="s">
        <v>70</v>
      </c>
      <c r="P232" s="17" t="n">
        <f aca="false">SUM(R232:AP232)</f>
        <v>10</v>
      </c>
      <c r="Q232" s="17" t="s">
        <v>71</v>
      </c>
      <c r="R232" s="17"/>
      <c r="S232" s="17"/>
      <c r="T232" s="17" t="n">
        <v>10</v>
      </c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9" t="s">
        <v>1785</v>
      </c>
      <c r="AR232" s="17" t="s">
        <v>1633</v>
      </c>
      <c r="AS232" s="20" t="n">
        <f aca="false">AVERAGE(AV232,BB232,BH232)</f>
        <v>21.3096666666667</v>
      </c>
      <c r="AT232" s="21" t="n">
        <f aca="false">(AS232*1.3)</f>
        <v>27.7025666666667</v>
      </c>
      <c r="AU232" s="48" t="s">
        <v>104</v>
      </c>
      <c r="AV232" s="20" t="n">
        <f aca="false">205.93/10</f>
        <v>20.593</v>
      </c>
      <c r="AW232" s="23" t="s">
        <v>1786</v>
      </c>
      <c r="AX232" s="58" t="s">
        <v>420</v>
      </c>
      <c r="AY232" s="18" t="s">
        <v>110</v>
      </c>
      <c r="AZ232" s="80" t="n">
        <v>44998</v>
      </c>
      <c r="BA232" s="118" t="s">
        <v>1056</v>
      </c>
      <c r="BB232" s="20" t="n">
        <f aca="false">205.54/10</f>
        <v>20.554</v>
      </c>
      <c r="BC232" s="23" t="s">
        <v>1787</v>
      </c>
      <c r="BD232" s="76" t="s">
        <v>1058</v>
      </c>
      <c r="BE232" s="18" t="s">
        <v>1760</v>
      </c>
      <c r="BF232" s="80" t="n">
        <v>44998</v>
      </c>
      <c r="BG232" s="108" t="s">
        <v>128</v>
      </c>
      <c r="BH232" s="20" t="n">
        <f aca="false">227.82/10</f>
        <v>22.782</v>
      </c>
      <c r="BI232" s="23" t="s">
        <v>1788</v>
      </c>
      <c r="BJ232" s="76" t="s">
        <v>130</v>
      </c>
      <c r="BK232" s="18" t="s">
        <v>98</v>
      </c>
      <c r="BL232" s="78" t="n">
        <v>44998</v>
      </c>
    </row>
    <row r="233" customFormat="false" ht="249" hidden="false" customHeight="false" outlineLevel="0" collapsed="false">
      <c r="A233" s="28" t="s">
        <v>28</v>
      </c>
      <c r="B233" s="28" t="s">
        <v>1789</v>
      </c>
      <c r="C233" s="29" t="s">
        <v>1790</v>
      </c>
      <c r="D233" s="30" t="s">
        <v>393</v>
      </c>
      <c r="E233" s="30" t="s">
        <v>66</v>
      </c>
      <c r="F233" s="30" t="n">
        <v>2</v>
      </c>
      <c r="G233" s="30" t="n">
        <v>2</v>
      </c>
      <c r="H233" s="31" t="n">
        <v>500</v>
      </c>
      <c r="I233" s="31" t="n">
        <v>1000</v>
      </c>
      <c r="J233" s="32" t="s">
        <v>1791</v>
      </c>
      <c r="K233" s="49" t="n">
        <v>232</v>
      </c>
      <c r="L233" s="33" t="s">
        <v>68</v>
      </c>
      <c r="M233" s="33" t="n">
        <v>21000000632</v>
      </c>
      <c r="N233" s="34" t="s">
        <v>1792</v>
      </c>
      <c r="O233" s="33" t="s">
        <v>200</v>
      </c>
      <c r="P233" s="33" t="n">
        <f aca="false">SUM(R233:AP233)</f>
        <v>2</v>
      </c>
      <c r="Q233" s="33" t="s">
        <v>71</v>
      </c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 t="n">
        <v>2</v>
      </c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0"/>
      <c r="AP233" s="33"/>
      <c r="AQ233" s="34"/>
      <c r="AR233" s="33"/>
      <c r="AS233" s="36"/>
      <c r="AT233" s="21"/>
      <c r="AU233" s="65"/>
      <c r="AV233" s="20"/>
      <c r="AW233" s="38"/>
      <c r="AX233" s="66"/>
      <c r="AY233" s="17"/>
      <c r="AZ233" s="67"/>
      <c r="BA233" s="44"/>
      <c r="BB233" s="68"/>
      <c r="BC233" s="33"/>
      <c r="BD233" s="49"/>
      <c r="BE233" s="33"/>
      <c r="BF233" s="67"/>
      <c r="BG233" s="69"/>
      <c r="BH233" s="70"/>
      <c r="BI233" s="33"/>
      <c r="BJ233" s="71"/>
      <c r="BK233" s="33"/>
      <c r="BL233" s="67"/>
    </row>
    <row r="234" customFormat="false" ht="429" hidden="false" customHeight="false" outlineLevel="0" collapsed="false">
      <c r="A234" s="12" t="s">
        <v>40</v>
      </c>
      <c r="B234" s="12" t="s">
        <v>1793</v>
      </c>
      <c r="C234" s="13" t="s">
        <v>1794</v>
      </c>
      <c r="D234" s="14" t="s">
        <v>65</v>
      </c>
      <c r="E234" s="14" t="s">
        <v>66</v>
      </c>
      <c r="F234" s="14" t="n">
        <v>1</v>
      </c>
      <c r="G234" s="14" t="n">
        <v>500</v>
      </c>
      <c r="H234" s="15" t="n">
        <v>20</v>
      </c>
      <c r="I234" s="15" t="n">
        <v>20</v>
      </c>
      <c r="J234" s="23" t="s">
        <v>1795</v>
      </c>
      <c r="K234" s="45" t="n">
        <v>233</v>
      </c>
      <c r="L234" s="17" t="s">
        <v>68</v>
      </c>
      <c r="M234" s="17" t="n">
        <v>21000000168</v>
      </c>
      <c r="N234" s="18" t="s">
        <v>1796</v>
      </c>
      <c r="O234" s="17" t="s">
        <v>70</v>
      </c>
      <c r="P234" s="17" t="n">
        <f aca="false">SUM(R234:AP234)</f>
        <v>500</v>
      </c>
      <c r="Q234" s="17" t="s">
        <v>71</v>
      </c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 t="n">
        <v>500</v>
      </c>
      <c r="AP234" s="17"/>
      <c r="AQ234" s="19" t="s">
        <v>1796</v>
      </c>
      <c r="AR234" s="17" t="s">
        <v>1633</v>
      </c>
      <c r="AS234" s="20" t="n">
        <f aca="false">AVERAGE(AV234,BB234,BH234)</f>
        <v>0.04937</v>
      </c>
      <c r="AT234" s="21" t="n">
        <f aca="false">(AS234*1.3)</f>
        <v>0.064181</v>
      </c>
      <c r="AU234" s="110" t="s">
        <v>157</v>
      </c>
      <c r="AV234" s="20" t="n">
        <f aca="false">23/500</f>
        <v>0.046</v>
      </c>
      <c r="AW234" s="23" t="s">
        <v>1797</v>
      </c>
      <c r="AX234" s="76" t="s">
        <v>159</v>
      </c>
      <c r="AY234" s="17" t="s">
        <v>1696</v>
      </c>
      <c r="AZ234" s="80" t="n">
        <v>44998</v>
      </c>
      <c r="BA234" s="41" t="s">
        <v>128</v>
      </c>
      <c r="BB234" s="20" t="n">
        <f aca="false">54.11/1000</f>
        <v>0.05411</v>
      </c>
      <c r="BC234" s="23" t="s">
        <v>1798</v>
      </c>
      <c r="BD234" s="76" t="s">
        <v>130</v>
      </c>
      <c r="BE234" s="17" t="s">
        <v>865</v>
      </c>
      <c r="BF234" s="80" t="n">
        <v>44998</v>
      </c>
      <c r="BG234" s="119" t="s">
        <v>128</v>
      </c>
      <c r="BH234" s="20" t="n">
        <f aca="false">24/500</f>
        <v>0.048</v>
      </c>
      <c r="BI234" s="23" t="s">
        <v>1799</v>
      </c>
      <c r="BJ234" s="58" t="s">
        <v>130</v>
      </c>
      <c r="BK234" s="17" t="s">
        <v>98</v>
      </c>
      <c r="BL234" s="80" t="n">
        <v>44998</v>
      </c>
    </row>
    <row r="235" customFormat="false" ht="125.25" hidden="false" customHeight="false" outlineLevel="0" collapsed="false">
      <c r="A235" s="28" t="s">
        <v>34</v>
      </c>
      <c r="B235" s="28" t="s">
        <v>1800</v>
      </c>
      <c r="C235" s="29" t="s">
        <v>1801</v>
      </c>
      <c r="D235" s="30" t="s">
        <v>65</v>
      </c>
      <c r="E235" s="30" t="s">
        <v>66</v>
      </c>
      <c r="F235" s="30" t="n">
        <v>2</v>
      </c>
      <c r="G235" s="30" t="n">
        <v>2</v>
      </c>
      <c r="H235" s="31" t="n">
        <v>50</v>
      </c>
      <c r="I235" s="31" t="n">
        <v>100</v>
      </c>
      <c r="J235" s="32" t="s">
        <v>1802</v>
      </c>
      <c r="K235" s="49" t="n">
        <v>234</v>
      </c>
      <c r="L235" s="33" t="s">
        <v>68</v>
      </c>
      <c r="M235" s="33" t="n">
        <v>21000000332</v>
      </c>
      <c r="N235" s="34" t="s">
        <v>1803</v>
      </c>
      <c r="O235" s="33" t="s">
        <v>200</v>
      </c>
      <c r="P235" s="33" t="n">
        <f aca="false">SUM(R235:AP235)</f>
        <v>12</v>
      </c>
      <c r="Q235" s="33" t="s">
        <v>71</v>
      </c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0"/>
      <c r="AD235" s="33"/>
      <c r="AE235" s="33"/>
      <c r="AF235" s="33"/>
      <c r="AG235" s="33"/>
      <c r="AH235" s="33"/>
      <c r="AI235" s="33" t="n">
        <v>2</v>
      </c>
      <c r="AJ235" s="33"/>
      <c r="AK235" s="33"/>
      <c r="AL235" s="33"/>
      <c r="AM235" s="33"/>
      <c r="AN235" s="33"/>
      <c r="AO235" s="33" t="n">
        <v>5</v>
      </c>
      <c r="AP235" s="33" t="n">
        <v>5</v>
      </c>
      <c r="AQ235" s="35" t="s">
        <v>1803</v>
      </c>
      <c r="AR235" s="33" t="s">
        <v>1633</v>
      </c>
      <c r="AS235" s="36" t="n">
        <f aca="false">AVERAGE(AV235,BB235,BH235)</f>
        <v>78.85</v>
      </c>
      <c r="AT235" s="21" t="n">
        <f aca="false">(AS235*1.3)</f>
        <v>102.505</v>
      </c>
      <c r="AU235" s="120" t="s">
        <v>1056</v>
      </c>
      <c r="AV235" s="36" t="n">
        <v>62.68</v>
      </c>
      <c r="AW235" s="38" t="s">
        <v>1804</v>
      </c>
      <c r="AX235" s="49" t="s">
        <v>1058</v>
      </c>
      <c r="AY235" s="33" t="s">
        <v>1209</v>
      </c>
      <c r="AZ235" s="67" t="n">
        <v>44995</v>
      </c>
      <c r="BA235" s="111" t="s">
        <v>107</v>
      </c>
      <c r="BB235" s="36" t="n">
        <v>77.81</v>
      </c>
      <c r="BC235" s="32" t="s">
        <v>1804</v>
      </c>
      <c r="BD235" s="39" t="s">
        <v>109</v>
      </c>
      <c r="BE235" s="34" t="s">
        <v>1209</v>
      </c>
      <c r="BF235" s="121" t="n">
        <v>44995</v>
      </c>
      <c r="BG235" s="122" t="s">
        <v>87</v>
      </c>
      <c r="BH235" s="123" t="n">
        <v>96.06</v>
      </c>
      <c r="BI235" s="38" t="s">
        <v>1805</v>
      </c>
      <c r="BJ235" s="124" t="s">
        <v>610</v>
      </c>
      <c r="BK235" s="33" t="s">
        <v>255</v>
      </c>
      <c r="BL235" s="125" t="n">
        <v>44995</v>
      </c>
    </row>
    <row r="236" customFormat="false" ht="170.25" hidden="false" customHeight="false" outlineLevel="0" collapsed="false">
      <c r="A236" s="12" t="s">
        <v>21</v>
      </c>
      <c r="B236" s="12" t="s">
        <v>1806</v>
      </c>
      <c r="C236" s="13" t="s">
        <v>1807</v>
      </c>
      <c r="D236" s="14" t="s">
        <v>65</v>
      </c>
      <c r="E236" s="14" t="s">
        <v>66</v>
      </c>
      <c r="F236" s="14" t="n">
        <v>8</v>
      </c>
      <c r="G236" s="14" t="n">
        <v>8</v>
      </c>
      <c r="H236" s="15" t="n">
        <v>43.46</v>
      </c>
      <c r="I236" s="15" t="n">
        <v>347.68</v>
      </c>
      <c r="J236" s="23" t="s">
        <v>1808</v>
      </c>
      <c r="K236" s="45" t="n">
        <v>235</v>
      </c>
      <c r="L236" s="17" t="s">
        <v>68</v>
      </c>
      <c r="M236" s="17" t="n">
        <v>21000000333</v>
      </c>
      <c r="N236" s="18" t="s">
        <v>1809</v>
      </c>
      <c r="O236" s="17" t="s">
        <v>200</v>
      </c>
      <c r="P236" s="17" t="n">
        <f aca="false">SUM(R236:AP236)</f>
        <v>43</v>
      </c>
      <c r="Q236" s="17" t="s">
        <v>71</v>
      </c>
      <c r="R236" s="17"/>
      <c r="S236" s="17"/>
      <c r="T236" s="17"/>
      <c r="U236" s="17"/>
      <c r="V236" s="17" t="n">
        <v>8</v>
      </c>
      <c r="W236" s="17" t="n">
        <v>27</v>
      </c>
      <c r="X236" s="17"/>
      <c r="Y236" s="17"/>
      <c r="Z236" s="17"/>
      <c r="AA236" s="17"/>
      <c r="AB236" s="17"/>
      <c r="AC236" s="17"/>
      <c r="AD236" s="17"/>
      <c r="AE236" s="17"/>
      <c r="AF236" s="14"/>
      <c r="AG236" s="17"/>
      <c r="AH236" s="17"/>
      <c r="AI236" s="17" t="n">
        <v>1</v>
      </c>
      <c r="AJ236" s="17"/>
      <c r="AK236" s="17"/>
      <c r="AL236" s="17"/>
      <c r="AM236" s="17"/>
      <c r="AN236" s="17"/>
      <c r="AO236" s="17" t="n">
        <v>2</v>
      </c>
      <c r="AP236" s="17" t="n">
        <v>5</v>
      </c>
      <c r="AQ236" s="19" t="s">
        <v>1809</v>
      </c>
      <c r="AR236" s="17" t="s">
        <v>561</v>
      </c>
      <c r="AS236" s="20" t="n">
        <f aca="false">AVERAGE(AV236,BB236,BH236)</f>
        <v>34.23</v>
      </c>
      <c r="AT236" s="21" t="n">
        <f aca="false">(AS236*1.3)</f>
        <v>44.499</v>
      </c>
      <c r="AU236" s="126" t="s">
        <v>104</v>
      </c>
      <c r="AV236" s="20" t="n">
        <v>34.7</v>
      </c>
      <c r="AW236" s="16" t="s">
        <v>1810</v>
      </c>
      <c r="AX236" s="127" t="s">
        <v>420</v>
      </c>
      <c r="AY236" s="17" t="s">
        <v>110</v>
      </c>
      <c r="AZ236" s="55" t="n">
        <v>44995</v>
      </c>
      <c r="BA236" s="128" t="s">
        <v>1654</v>
      </c>
      <c r="BB236" s="20" t="n">
        <v>39.99</v>
      </c>
      <c r="BC236" s="23" t="s">
        <v>1811</v>
      </c>
      <c r="BD236" s="129" t="s">
        <v>1656</v>
      </c>
      <c r="BE236" s="17" t="s">
        <v>1812</v>
      </c>
      <c r="BF236" s="80" t="n">
        <v>44995</v>
      </c>
      <c r="BG236" s="130" t="s">
        <v>1056</v>
      </c>
      <c r="BH236" s="20" t="n">
        <v>28</v>
      </c>
      <c r="BI236" s="23" t="s">
        <v>1813</v>
      </c>
      <c r="BJ236" s="71" t="s">
        <v>1058</v>
      </c>
      <c r="BK236" s="17" t="s">
        <v>131</v>
      </c>
      <c r="BL236" s="80" t="n">
        <v>44995</v>
      </c>
    </row>
    <row r="237" customFormat="false" ht="24" hidden="false" customHeight="false" outlineLevel="0" collapsed="false">
      <c r="A237" s="94" t="s">
        <v>21</v>
      </c>
      <c r="B237" s="94" t="s">
        <v>1814</v>
      </c>
      <c r="C237" s="95" t="s">
        <v>1815</v>
      </c>
      <c r="D237" s="96" t="s">
        <v>65</v>
      </c>
      <c r="E237" s="96" t="s">
        <v>66</v>
      </c>
      <c r="F237" s="96" t="n">
        <v>6</v>
      </c>
      <c r="G237" s="96" t="n">
        <v>6</v>
      </c>
      <c r="H237" s="97" t="n">
        <v>29.95</v>
      </c>
      <c r="I237" s="97" t="n">
        <v>179.7</v>
      </c>
      <c r="J237" s="99"/>
      <c r="K237" s="131" t="n">
        <v>236</v>
      </c>
      <c r="L237" s="99"/>
      <c r="M237" s="99"/>
      <c r="N237" s="100"/>
      <c r="O237" s="99"/>
      <c r="P237" s="132" t="n">
        <f aca="false">SUM(R237:AP237)</f>
        <v>6</v>
      </c>
      <c r="Q237" s="132" t="s">
        <v>71</v>
      </c>
      <c r="R237" s="99"/>
      <c r="S237" s="99"/>
      <c r="T237" s="99"/>
      <c r="U237" s="99"/>
      <c r="V237" s="99" t="n">
        <v>6</v>
      </c>
      <c r="W237" s="99"/>
      <c r="X237" s="99"/>
      <c r="Y237" s="99"/>
      <c r="Z237" s="99"/>
      <c r="AA237" s="99"/>
      <c r="AB237" s="99"/>
      <c r="AC237" s="99"/>
      <c r="AD237" s="99"/>
      <c r="AE237" s="99"/>
      <c r="AF237" s="96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133"/>
      <c r="AR237" s="99"/>
      <c r="AS237" s="134" t="e">
        <f aca="false">AVERAGE(AV237,BB237,BH237)</f>
        <v>#DIV/0!</v>
      </c>
      <c r="AT237" s="47" t="e">
        <f aca="false">(AS237*1.3)</f>
        <v>#DIV/0!</v>
      </c>
      <c r="AU237" s="7"/>
      <c r="AV237" s="103"/>
      <c r="AW237" s="99"/>
      <c r="AX237" s="99"/>
      <c r="AY237" s="99"/>
      <c r="AZ237" s="99"/>
      <c r="BA237" s="10"/>
      <c r="BB237" s="103"/>
      <c r="BC237" s="99"/>
      <c r="BD237" s="99"/>
      <c r="BE237" s="99"/>
      <c r="BF237" s="99"/>
      <c r="BG237" s="11"/>
      <c r="BH237" s="103"/>
      <c r="BI237" s="99"/>
      <c r="BJ237" s="99"/>
      <c r="BK237" s="99"/>
      <c r="BL237" s="99"/>
    </row>
    <row r="238" customFormat="false" ht="102.75" hidden="false" customHeight="false" outlineLevel="0" collapsed="false">
      <c r="A238" s="135" t="s">
        <v>30</v>
      </c>
      <c r="B238" s="135" t="s">
        <v>1816</v>
      </c>
      <c r="C238" s="136" t="s">
        <v>1817</v>
      </c>
      <c r="D238" s="137" t="s">
        <v>65</v>
      </c>
      <c r="E238" s="137" t="s">
        <v>66</v>
      </c>
      <c r="F238" s="137" t="n">
        <v>3</v>
      </c>
      <c r="G238" s="137" t="n">
        <v>8</v>
      </c>
      <c r="H238" s="138" t="n">
        <v>120</v>
      </c>
      <c r="I238" s="138" t="n">
        <v>960</v>
      </c>
      <c r="J238" s="132"/>
      <c r="K238" s="131" t="n">
        <v>237</v>
      </c>
      <c r="L238" s="139"/>
      <c r="M238" s="132"/>
      <c r="N238" s="140"/>
      <c r="O238" s="132"/>
      <c r="P238" s="132" t="n">
        <f aca="false">SUM(R238:AP238)</f>
        <v>8</v>
      </c>
      <c r="Q238" s="132" t="s">
        <v>71</v>
      </c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 t="n">
        <v>8</v>
      </c>
      <c r="AF238" s="132"/>
      <c r="AG238" s="137"/>
      <c r="AH238" s="132"/>
      <c r="AI238" s="132"/>
      <c r="AJ238" s="132"/>
      <c r="AK238" s="132"/>
      <c r="AL238" s="132"/>
      <c r="AM238" s="132"/>
      <c r="AN238" s="132"/>
      <c r="AO238" s="132"/>
      <c r="AP238" s="132"/>
      <c r="AQ238" s="141"/>
      <c r="AR238" s="132"/>
      <c r="AS238" s="134" t="e">
        <f aca="false">AVERAGE(AV238,BB238,BH238)</f>
        <v>#DIV/0!</v>
      </c>
      <c r="AT238" s="47" t="e">
        <f aca="false">(AS238*1.3)</f>
        <v>#DIV/0!</v>
      </c>
      <c r="AU238" s="7"/>
      <c r="AV238" s="134"/>
      <c r="AW238" s="132"/>
      <c r="AX238" s="132"/>
      <c r="AY238" s="132"/>
      <c r="AZ238" s="132"/>
      <c r="BA238" s="10"/>
      <c r="BB238" s="134"/>
      <c r="BC238" s="132"/>
      <c r="BD238" s="132"/>
      <c r="BE238" s="132"/>
      <c r="BF238" s="132"/>
      <c r="BG238" s="11"/>
      <c r="BH238" s="134"/>
      <c r="BI238" s="132"/>
      <c r="BJ238" s="132"/>
      <c r="BK238" s="132"/>
      <c r="BL238" s="132"/>
    </row>
    <row r="239" customFormat="false" ht="136.5" hidden="false" customHeight="false" outlineLevel="0" collapsed="false">
      <c r="A239" s="94" t="s">
        <v>31</v>
      </c>
      <c r="B239" s="94" t="s">
        <v>1818</v>
      </c>
      <c r="C239" s="95" t="s">
        <v>1819</v>
      </c>
      <c r="D239" s="96" t="s">
        <v>65</v>
      </c>
      <c r="E239" s="96" t="s">
        <v>66</v>
      </c>
      <c r="F239" s="96" t="n">
        <v>10</v>
      </c>
      <c r="G239" s="96" t="n">
        <v>10</v>
      </c>
      <c r="H239" s="97" t="n">
        <v>152.27</v>
      </c>
      <c r="I239" s="97" t="n">
        <v>1522.7</v>
      </c>
      <c r="J239" s="99"/>
      <c r="K239" s="131" t="n">
        <v>238</v>
      </c>
      <c r="L239" s="99"/>
      <c r="M239" s="99"/>
      <c r="N239" s="100"/>
      <c r="O239" s="99"/>
      <c r="P239" s="132" t="n">
        <f aca="false">SUM(R239:AP239)</f>
        <v>10</v>
      </c>
      <c r="Q239" s="132" t="s">
        <v>71</v>
      </c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99" t="n">
        <v>10</v>
      </c>
      <c r="AG239" s="137"/>
      <c r="AH239" s="132"/>
      <c r="AI239" s="132"/>
      <c r="AJ239" s="132"/>
      <c r="AK239" s="132"/>
      <c r="AL239" s="132"/>
      <c r="AM239" s="132"/>
      <c r="AN239" s="132"/>
      <c r="AO239" s="132"/>
      <c r="AP239" s="132"/>
      <c r="AQ239" s="133"/>
      <c r="AR239" s="132"/>
      <c r="AS239" s="134" t="e">
        <f aca="false">AVERAGE(AV239,BB239,BH239)</f>
        <v>#DIV/0!</v>
      </c>
      <c r="AT239" s="47" t="e">
        <f aca="false">(AS239*1.3)</f>
        <v>#DIV/0!</v>
      </c>
      <c r="AU239" s="7"/>
      <c r="AV239" s="134"/>
      <c r="AW239" s="132"/>
      <c r="AX239" s="132"/>
      <c r="AY239" s="132"/>
      <c r="AZ239" s="132"/>
      <c r="BA239" s="10"/>
      <c r="BB239" s="134"/>
      <c r="BC239" s="132"/>
      <c r="BD239" s="132"/>
      <c r="BE239" s="132"/>
      <c r="BF239" s="132"/>
      <c r="BG239" s="11"/>
      <c r="BH239" s="134"/>
      <c r="BI239" s="132"/>
      <c r="BJ239" s="132"/>
      <c r="BK239" s="132"/>
      <c r="BL239" s="132"/>
    </row>
    <row r="240" customFormat="false" ht="57.75" hidden="false" customHeight="false" outlineLevel="0" collapsed="false">
      <c r="A240" s="94" t="s">
        <v>31</v>
      </c>
      <c r="B240" s="94" t="s">
        <v>1820</v>
      </c>
      <c r="C240" s="95" t="s">
        <v>1821</v>
      </c>
      <c r="D240" s="96" t="s">
        <v>65</v>
      </c>
      <c r="E240" s="96" t="s">
        <v>66</v>
      </c>
      <c r="F240" s="96" t="n">
        <v>10</v>
      </c>
      <c r="G240" s="96" t="n">
        <v>10</v>
      </c>
      <c r="H240" s="97" t="n">
        <v>16</v>
      </c>
      <c r="I240" s="97" t="n">
        <v>160</v>
      </c>
      <c r="J240" s="99"/>
      <c r="K240" s="131" t="n">
        <v>239</v>
      </c>
      <c r="L240" s="99"/>
      <c r="M240" s="99"/>
      <c r="N240" s="100"/>
      <c r="O240" s="99"/>
      <c r="P240" s="132" t="n">
        <f aca="false">SUM(R240:AP240)</f>
        <v>10</v>
      </c>
      <c r="Q240" s="132" t="s">
        <v>71</v>
      </c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  <c r="AF240" s="99" t="n">
        <v>10</v>
      </c>
      <c r="AG240" s="132"/>
      <c r="AH240" s="132"/>
      <c r="AI240" s="132"/>
      <c r="AJ240" s="132"/>
      <c r="AK240" s="132"/>
      <c r="AL240" s="132"/>
      <c r="AM240" s="132"/>
      <c r="AN240" s="132"/>
      <c r="AO240" s="132"/>
      <c r="AP240" s="132"/>
      <c r="AQ240" s="133"/>
      <c r="AR240" s="132"/>
      <c r="AS240" s="134" t="e">
        <f aca="false">AVERAGE(AV240,BB240,BH240)</f>
        <v>#DIV/0!</v>
      </c>
      <c r="AT240" s="47" t="e">
        <f aca="false">(AS240*1.3)</f>
        <v>#DIV/0!</v>
      </c>
      <c r="AU240" s="7"/>
      <c r="AV240" s="134"/>
      <c r="AW240" s="132"/>
      <c r="AX240" s="132"/>
      <c r="AY240" s="132"/>
      <c r="AZ240" s="132"/>
      <c r="BA240" s="10"/>
      <c r="BB240" s="134"/>
      <c r="BC240" s="132"/>
      <c r="BD240" s="132"/>
      <c r="BE240" s="132"/>
      <c r="BF240" s="132"/>
      <c r="BG240" s="11"/>
      <c r="BH240" s="134"/>
      <c r="BI240" s="132"/>
      <c r="BJ240" s="132"/>
      <c r="BK240" s="132"/>
      <c r="BL240" s="132"/>
    </row>
    <row r="241" customFormat="false" ht="384" hidden="false" customHeight="false" outlineLevel="0" collapsed="false">
      <c r="A241" s="94" t="s">
        <v>31</v>
      </c>
      <c r="B241" s="94" t="s">
        <v>1822</v>
      </c>
      <c r="C241" s="95" t="s">
        <v>1823</v>
      </c>
      <c r="D241" s="96" t="s">
        <v>65</v>
      </c>
      <c r="E241" s="96" t="s">
        <v>66</v>
      </c>
      <c r="F241" s="96" t="n">
        <v>30</v>
      </c>
      <c r="G241" s="96" t="n">
        <v>30</v>
      </c>
      <c r="H241" s="97" t="n">
        <v>6</v>
      </c>
      <c r="I241" s="97" t="n">
        <v>180</v>
      </c>
      <c r="J241" s="99"/>
      <c r="K241" s="131" t="n">
        <v>240</v>
      </c>
      <c r="L241" s="99"/>
      <c r="M241" s="99"/>
      <c r="N241" s="100"/>
      <c r="O241" s="99"/>
      <c r="P241" s="132" t="n">
        <f aca="false">SUM(R241:AP241)</f>
        <v>30</v>
      </c>
      <c r="Q241" s="132" t="s">
        <v>71</v>
      </c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132"/>
      <c r="AE241" s="132"/>
      <c r="AF241" s="99" t="n">
        <v>30</v>
      </c>
      <c r="AG241" s="132"/>
      <c r="AH241" s="132"/>
      <c r="AI241" s="132"/>
      <c r="AJ241" s="132"/>
      <c r="AK241" s="132"/>
      <c r="AL241" s="132"/>
      <c r="AM241" s="132"/>
      <c r="AN241" s="132"/>
      <c r="AO241" s="132"/>
      <c r="AP241" s="132"/>
      <c r="AQ241" s="133"/>
      <c r="AR241" s="132"/>
      <c r="AS241" s="134" t="e">
        <f aca="false">AVERAGE(AV241,BB241,BH241)</f>
        <v>#DIV/0!</v>
      </c>
      <c r="AT241" s="47" t="e">
        <f aca="false">(AS241*1.3)</f>
        <v>#DIV/0!</v>
      </c>
      <c r="AU241" s="7"/>
      <c r="AV241" s="134"/>
      <c r="AW241" s="132"/>
      <c r="AX241" s="132"/>
      <c r="AY241" s="132"/>
      <c r="AZ241" s="132"/>
      <c r="BA241" s="10"/>
      <c r="BB241" s="134"/>
      <c r="BC241" s="132"/>
      <c r="BD241" s="132"/>
      <c r="BE241" s="132"/>
      <c r="BF241" s="132"/>
      <c r="BG241" s="11"/>
      <c r="BH241" s="134"/>
      <c r="BI241" s="132"/>
      <c r="BJ241" s="132"/>
      <c r="BK241" s="132"/>
      <c r="BL241" s="132"/>
    </row>
    <row r="242" customFormat="false" ht="136.5" hidden="false" customHeight="false" outlineLevel="0" collapsed="false">
      <c r="A242" s="94" t="s">
        <v>32</v>
      </c>
      <c r="B242" s="94" t="s">
        <v>1824</v>
      </c>
      <c r="C242" s="95" t="s">
        <v>1825</v>
      </c>
      <c r="D242" s="96" t="s">
        <v>65</v>
      </c>
      <c r="E242" s="96" t="s">
        <v>66</v>
      </c>
      <c r="F242" s="96" t="n">
        <v>5</v>
      </c>
      <c r="G242" s="96" t="n">
        <v>5</v>
      </c>
      <c r="H242" s="97" t="n">
        <v>316</v>
      </c>
      <c r="I242" s="97" t="n">
        <v>1580</v>
      </c>
      <c r="J242" s="99"/>
      <c r="K242" s="131" t="n">
        <v>241</v>
      </c>
      <c r="L242" s="99"/>
      <c r="M242" s="99"/>
      <c r="N242" s="100"/>
      <c r="O242" s="99"/>
      <c r="P242" s="132" t="n">
        <f aca="false">SUM(R242:AP242)</f>
        <v>5</v>
      </c>
      <c r="Q242" s="132" t="s">
        <v>71</v>
      </c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  <c r="AF242" s="132"/>
      <c r="AG242" s="99" t="n">
        <v>5</v>
      </c>
      <c r="AH242" s="132"/>
      <c r="AI242" s="132"/>
      <c r="AJ242" s="132"/>
      <c r="AK242" s="132"/>
      <c r="AL242" s="132"/>
      <c r="AM242" s="132"/>
      <c r="AN242" s="137"/>
      <c r="AO242" s="132"/>
      <c r="AP242" s="132"/>
      <c r="AQ242" s="133"/>
      <c r="AR242" s="132"/>
      <c r="AS242" s="134" t="e">
        <f aca="false">AVERAGE(AV242,BB242,BH242)</f>
        <v>#DIV/0!</v>
      </c>
      <c r="AT242" s="47" t="e">
        <f aca="false">(AS242*1.3)</f>
        <v>#DIV/0!</v>
      </c>
      <c r="AU242" s="7"/>
      <c r="AV242" s="134"/>
      <c r="AW242" s="132"/>
      <c r="AX242" s="132"/>
      <c r="AY242" s="132"/>
      <c r="AZ242" s="132"/>
      <c r="BA242" s="10"/>
      <c r="BB242" s="134"/>
      <c r="BC242" s="132"/>
      <c r="BD242" s="132"/>
      <c r="BE242" s="132"/>
      <c r="BF242" s="132"/>
      <c r="BG242" s="11"/>
      <c r="BH242" s="134"/>
      <c r="BI242" s="132"/>
      <c r="BJ242" s="132"/>
      <c r="BK242" s="132"/>
      <c r="BL242" s="132"/>
    </row>
    <row r="243" customFormat="false" ht="451.5" hidden="false" customHeight="false" outlineLevel="0" collapsed="false">
      <c r="A243" s="94" t="s">
        <v>32</v>
      </c>
      <c r="B243" s="94" t="s">
        <v>1826</v>
      </c>
      <c r="C243" s="95" t="s">
        <v>1827</v>
      </c>
      <c r="D243" s="96" t="s">
        <v>65</v>
      </c>
      <c r="E243" s="96" t="s">
        <v>66</v>
      </c>
      <c r="F243" s="96" t="n">
        <v>1</v>
      </c>
      <c r="G243" s="96" t="n">
        <v>1</v>
      </c>
      <c r="H243" s="97" t="n">
        <v>99.18</v>
      </c>
      <c r="I243" s="97" t="n">
        <v>99.18</v>
      </c>
      <c r="J243" s="99"/>
      <c r="K243" s="131" t="n">
        <v>242</v>
      </c>
      <c r="L243" s="99"/>
      <c r="M243" s="99"/>
      <c r="N243" s="100"/>
      <c r="O243" s="99"/>
      <c r="P243" s="132" t="n">
        <f aca="false">SUM(R243:AP243)</f>
        <v>1</v>
      </c>
      <c r="Q243" s="132" t="s">
        <v>71</v>
      </c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132"/>
      <c r="AE243" s="132"/>
      <c r="AF243" s="132"/>
      <c r="AG243" s="99" t="n">
        <v>1</v>
      </c>
      <c r="AH243" s="132"/>
      <c r="AI243" s="132"/>
      <c r="AJ243" s="132"/>
      <c r="AK243" s="132"/>
      <c r="AL243" s="132"/>
      <c r="AM243" s="132"/>
      <c r="AN243" s="132"/>
      <c r="AO243" s="132"/>
      <c r="AP243" s="137"/>
      <c r="AQ243" s="133"/>
      <c r="AR243" s="132"/>
      <c r="AS243" s="134" t="e">
        <f aca="false">AVERAGE(AV243,BB243,BH243)</f>
        <v>#DIV/0!</v>
      </c>
      <c r="AT243" s="47" t="e">
        <f aca="false">(AS243*1.3)</f>
        <v>#DIV/0!</v>
      </c>
      <c r="AU243" s="7"/>
      <c r="AV243" s="134"/>
      <c r="AW243" s="132"/>
      <c r="AX243" s="132"/>
      <c r="AY243" s="132"/>
      <c r="AZ243" s="132"/>
      <c r="BA243" s="10"/>
      <c r="BB243" s="134"/>
      <c r="BC243" s="132"/>
      <c r="BD243" s="132"/>
      <c r="BE243" s="132"/>
      <c r="BF243" s="132"/>
      <c r="BG243" s="11"/>
      <c r="BH243" s="134"/>
      <c r="BI243" s="132"/>
      <c r="BJ243" s="132"/>
      <c r="BK243" s="132"/>
      <c r="BL243" s="132"/>
    </row>
    <row r="244" customFormat="false" ht="181.5" hidden="false" customHeight="false" outlineLevel="0" collapsed="false">
      <c r="A244" s="142" t="s">
        <v>39</v>
      </c>
      <c r="B244" s="142" t="s">
        <v>1828</v>
      </c>
      <c r="C244" s="143" t="s">
        <v>1829</v>
      </c>
      <c r="D244" s="144" t="s">
        <v>65</v>
      </c>
      <c r="E244" s="144" t="s">
        <v>66</v>
      </c>
      <c r="F244" s="144" t="n">
        <v>20</v>
      </c>
      <c r="G244" s="144" t="n">
        <v>20</v>
      </c>
      <c r="H244" s="145" t="n">
        <v>39.9</v>
      </c>
      <c r="I244" s="145" t="n">
        <v>798</v>
      </c>
      <c r="J244" s="146"/>
      <c r="K244" s="131" t="n">
        <v>243</v>
      </c>
      <c r="L244" s="146"/>
      <c r="M244" s="146"/>
      <c r="N244" s="147"/>
      <c r="O244" s="146"/>
      <c r="P244" s="132" t="n">
        <f aca="false">SUM(R244:AP244)</f>
        <v>20</v>
      </c>
      <c r="Q244" s="132" t="s">
        <v>71</v>
      </c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132"/>
      <c r="AE244" s="132"/>
      <c r="AF244" s="132"/>
      <c r="AG244" s="137"/>
      <c r="AH244" s="132"/>
      <c r="AI244" s="132"/>
      <c r="AJ244" s="132"/>
      <c r="AK244" s="132"/>
      <c r="AL244" s="132"/>
      <c r="AM244" s="132"/>
      <c r="AN244" s="146" t="n">
        <v>20</v>
      </c>
      <c r="AO244" s="132"/>
      <c r="AP244" s="132"/>
      <c r="AQ244" s="148"/>
      <c r="AR244" s="132"/>
      <c r="AS244" s="134" t="e">
        <f aca="false">AVERAGE(AV244,BB244,BH244)</f>
        <v>#DIV/0!</v>
      </c>
      <c r="AT244" s="47" t="e">
        <f aca="false">(AS244*1.3)</f>
        <v>#DIV/0!</v>
      </c>
      <c r="AU244" s="7"/>
      <c r="AV244" s="134"/>
      <c r="AW244" s="132"/>
      <c r="AX244" s="132"/>
      <c r="AY244" s="132"/>
      <c r="AZ244" s="132"/>
      <c r="BA244" s="10"/>
      <c r="BB244" s="134"/>
      <c r="BC244" s="132"/>
      <c r="BD244" s="132"/>
      <c r="BE244" s="132"/>
      <c r="BF244" s="132"/>
      <c r="BG244" s="11"/>
      <c r="BH244" s="134"/>
      <c r="BI244" s="132"/>
      <c r="BJ244" s="132"/>
      <c r="BK244" s="132"/>
      <c r="BL244" s="132"/>
    </row>
    <row r="245" customFormat="false" ht="327.75" hidden="false" customHeight="false" outlineLevel="0" collapsed="false">
      <c r="A245" s="28" t="s">
        <v>36</v>
      </c>
      <c r="B245" s="28" t="s">
        <v>1830</v>
      </c>
      <c r="C245" s="29" t="s">
        <v>1831</v>
      </c>
      <c r="D245" s="30" t="s">
        <v>65</v>
      </c>
      <c r="E245" s="30" t="s">
        <v>66</v>
      </c>
      <c r="F245" s="30" t="n">
        <v>1</v>
      </c>
      <c r="G245" s="30" t="n">
        <v>9</v>
      </c>
      <c r="H245" s="31" t="n">
        <v>23</v>
      </c>
      <c r="I245" s="31" t="n">
        <v>207</v>
      </c>
      <c r="J245" s="38" t="s">
        <v>1832</v>
      </c>
      <c r="K245" s="49" t="n">
        <v>236</v>
      </c>
      <c r="L245" s="33" t="s">
        <v>68</v>
      </c>
      <c r="M245" s="33" t="n">
        <v>21000000089</v>
      </c>
      <c r="N245" s="34" t="s">
        <v>1833</v>
      </c>
      <c r="O245" s="33" t="s">
        <v>115</v>
      </c>
      <c r="P245" s="33" t="n">
        <f aca="false">SUM(R245:AP245)</f>
        <v>9</v>
      </c>
      <c r="Q245" s="33" t="s">
        <v>71</v>
      </c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0"/>
      <c r="AG245" s="33"/>
      <c r="AH245" s="33"/>
      <c r="AI245" s="33"/>
      <c r="AJ245" s="33"/>
      <c r="AK245" s="33" t="n">
        <v>9</v>
      </c>
      <c r="AL245" s="33"/>
      <c r="AM245" s="33"/>
      <c r="AN245" s="33"/>
      <c r="AO245" s="33"/>
      <c r="AP245" s="33"/>
      <c r="AQ245" s="35" t="s">
        <v>1833</v>
      </c>
      <c r="AR245" s="33" t="s">
        <v>561</v>
      </c>
      <c r="AS245" s="36" t="n">
        <f aca="false">AVERAGE(AV245,BB245,BH245)</f>
        <v>57.6733333333333</v>
      </c>
      <c r="AT245" s="21" t="n">
        <f aca="false">(AS245*1.3)</f>
        <v>74.9753333333333</v>
      </c>
      <c r="AU245" s="149" t="s">
        <v>107</v>
      </c>
      <c r="AV245" s="36" t="n">
        <v>55.34</v>
      </c>
      <c r="AW245" s="38" t="s">
        <v>1834</v>
      </c>
      <c r="AX245" s="113" t="s">
        <v>109</v>
      </c>
      <c r="AY245" s="33" t="s">
        <v>1835</v>
      </c>
      <c r="AZ245" s="74" t="n">
        <v>44998</v>
      </c>
      <c r="BA245" s="111" t="s">
        <v>128</v>
      </c>
      <c r="BB245" s="36" t="n">
        <v>51.68</v>
      </c>
      <c r="BC245" s="38" t="s">
        <v>1836</v>
      </c>
      <c r="BD245" s="109" t="s">
        <v>130</v>
      </c>
      <c r="BE245" s="17" t="s">
        <v>1209</v>
      </c>
      <c r="BF245" s="74" t="n">
        <v>44998</v>
      </c>
      <c r="BG245" s="108" t="s">
        <v>157</v>
      </c>
      <c r="BH245" s="36" t="n">
        <v>66</v>
      </c>
      <c r="BI245" s="38" t="s">
        <v>1837</v>
      </c>
      <c r="BJ245" s="109" t="s">
        <v>159</v>
      </c>
      <c r="BK245" s="33" t="s">
        <v>94</v>
      </c>
      <c r="BL245" s="74" t="n">
        <v>44998</v>
      </c>
    </row>
    <row r="246" customFormat="false" ht="429" hidden="false" customHeight="false" outlineLevel="0" collapsed="false">
      <c r="A246" s="135" t="s">
        <v>26</v>
      </c>
      <c r="B246" s="150" t="s">
        <v>1838</v>
      </c>
      <c r="C246" s="151" t="s">
        <v>1839</v>
      </c>
      <c r="D246" s="152" t="s">
        <v>65</v>
      </c>
      <c r="E246" s="152" t="s">
        <v>66</v>
      </c>
      <c r="F246" s="152" t="n">
        <v>1</v>
      </c>
      <c r="G246" s="152" t="n">
        <v>500</v>
      </c>
      <c r="H246" s="153" t="n">
        <v>65</v>
      </c>
      <c r="I246" s="154" t="n">
        <v>65</v>
      </c>
      <c r="J246" s="155" t="s">
        <v>1840</v>
      </c>
      <c r="K246" s="131" t="n">
        <v>237</v>
      </c>
      <c r="L246" s="139" t="s">
        <v>68</v>
      </c>
      <c r="M246" s="132" t="n">
        <v>21000000088</v>
      </c>
      <c r="N246" s="140" t="s">
        <v>1841</v>
      </c>
      <c r="O246" s="132" t="s">
        <v>70</v>
      </c>
      <c r="P246" s="132" t="n">
        <f aca="false">SUM(R246:AP246)</f>
        <v>1000</v>
      </c>
      <c r="Q246" s="132" t="s">
        <v>71</v>
      </c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 t="n">
        <v>500</v>
      </c>
      <c r="AB246" s="132"/>
      <c r="AC246" s="132"/>
      <c r="AD246" s="132"/>
      <c r="AE246" s="132"/>
      <c r="AF246" s="132"/>
      <c r="AG246" s="132"/>
      <c r="AH246" s="132"/>
      <c r="AI246" s="132" t="n">
        <v>500</v>
      </c>
      <c r="AJ246" s="132"/>
      <c r="AK246" s="132"/>
      <c r="AL246" s="132"/>
      <c r="AM246" s="132"/>
      <c r="AN246" s="132"/>
      <c r="AO246" s="132"/>
      <c r="AP246" s="132"/>
      <c r="AQ246" s="18" t="s">
        <v>1841</v>
      </c>
      <c r="AR246" s="132" t="s">
        <v>561</v>
      </c>
      <c r="AS246" s="134" t="n">
        <f aca="false">AVERAGE(AV246,BB246,BH246)</f>
        <v>0.312956666666667</v>
      </c>
      <c r="AT246" s="21" t="n">
        <f aca="false">(AS246*1.3)</f>
        <v>0.406843666666667</v>
      </c>
      <c r="AU246" s="65" t="s">
        <v>107</v>
      </c>
      <c r="AV246" s="20" t="n">
        <f aca="false">129.98/500</f>
        <v>0.25996</v>
      </c>
      <c r="AW246" s="155" t="s">
        <v>1842</v>
      </c>
      <c r="AX246" s="66" t="s">
        <v>1843</v>
      </c>
      <c r="AY246" s="17" t="s">
        <v>110</v>
      </c>
      <c r="AZ246" s="156" t="n">
        <v>44995</v>
      </c>
      <c r="BA246" s="44" t="s">
        <v>157</v>
      </c>
      <c r="BB246" s="157" t="n">
        <f aca="false">320.99/1000</f>
        <v>0.32099</v>
      </c>
      <c r="BC246" s="158" t="s">
        <v>1844</v>
      </c>
      <c r="BD246" s="131" t="s">
        <v>159</v>
      </c>
      <c r="BE246" s="132" t="s">
        <v>76</v>
      </c>
      <c r="BF246" s="156" t="n">
        <v>44995</v>
      </c>
      <c r="BG246" s="69" t="s">
        <v>87</v>
      </c>
      <c r="BH246" s="70" t="n">
        <f aca="false">178.96/500</f>
        <v>0.35792</v>
      </c>
      <c r="BI246" s="155" t="s">
        <v>1845</v>
      </c>
      <c r="BJ246" s="71" t="s">
        <v>610</v>
      </c>
      <c r="BK246" s="132" t="s">
        <v>255</v>
      </c>
      <c r="BL246" s="156" t="n">
        <v>44995</v>
      </c>
    </row>
    <row r="247" customFormat="false" ht="147.75" hidden="false" customHeight="false" outlineLevel="0" collapsed="false">
      <c r="A247" s="159" t="s">
        <v>1846</v>
      </c>
      <c r="B247" s="160" t="s">
        <v>1847</v>
      </c>
      <c r="C247" s="161" t="s">
        <v>1848</v>
      </c>
      <c r="D247" s="162" t="s">
        <v>1849</v>
      </c>
      <c r="E247" s="163" t="s">
        <v>1850</v>
      </c>
      <c r="F247" s="164" t="n">
        <v>20</v>
      </c>
      <c r="G247" s="165" t="n">
        <v>7.99</v>
      </c>
      <c r="H247" s="165" t="n">
        <v>159.8</v>
      </c>
      <c r="I247" s="164" t="n">
        <v>7</v>
      </c>
      <c r="J247" s="166"/>
      <c r="K247" s="166"/>
      <c r="L247" s="166"/>
      <c r="M247" s="166"/>
      <c r="N247" s="166"/>
      <c r="O247" s="166"/>
      <c r="P247" s="33" t="n">
        <f aca="false">SUM(R247:AP247)</f>
        <v>0</v>
      </c>
      <c r="Q247" s="33" t="s">
        <v>71</v>
      </c>
      <c r="R247" s="166"/>
      <c r="S247" s="166"/>
      <c r="T247" s="166"/>
      <c r="U247" s="166"/>
      <c r="V247" s="166"/>
      <c r="W247" s="166"/>
      <c r="X247" s="166"/>
      <c r="Y247" s="166"/>
      <c r="Z247" s="166"/>
      <c r="AA247" s="33"/>
      <c r="AB247" s="33"/>
      <c r="AC247" s="33"/>
      <c r="AD247" s="33"/>
      <c r="AE247" s="33"/>
      <c r="AF247" s="30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167"/>
      <c r="AR247" s="33"/>
      <c r="AS247" s="33"/>
      <c r="AT247" s="47"/>
      <c r="AU247" s="7"/>
      <c r="AV247" s="36"/>
      <c r="AW247" s="33"/>
      <c r="AX247" s="33"/>
      <c r="AY247" s="33"/>
      <c r="AZ247" s="33"/>
      <c r="BA247" s="10"/>
      <c r="BB247" s="36"/>
      <c r="BC247" s="33"/>
      <c r="BD247" s="33"/>
      <c r="BE247" s="33"/>
      <c r="BF247" s="33"/>
      <c r="BG247" s="11"/>
      <c r="BH247" s="36"/>
      <c r="BI247" s="33"/>
      <c r="BJ247" s="33"/>
      <c r="BK247" s="33"/>
      <c r="BL247" s="33"/>
    </row>
    <row r="248" customFormat="false" ht="13.8" hidden="false" customHeight="false" outlineLevel="0" collapsed="false">
      <c r="A248" s="140"/>
      <c r="B248" s="140"/>
      <c r="C248" s="168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40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  <c r="AF248" s="132"/>
      <c r="AG248" s="132"/>
      <c r="AH248" s="132"/>
      <c r="AI248" s="132"/>
      <c r="AJ248" s="132"/>
      <c r="AK248" s="132"/>
      <c r="AL248" s="132"/>
      <c r="AM248" s="132"/>
      <c r="AN248" s="132"/>
      <c r="AO248" s="132"/>
      <c r="AP248" s="132"/>
      <c r="AQ248" s="141"/>
      <c r="AR248" s="132"/>
      <c r="AS248" s="132"/>
      <c r="AT248" s="47"/>
      <c r="AU248" s="7"/>
      <c r="AV248" s="134"/>
      <c r="AW248" s="132"/>
      <c r="AX248" s="132"/>
      <c r="AY248" s="132"/>
      <c r="AZ248" s="132"/>
      <c r="BA248" s="10"/>
      <c r="BB248" s="134"/>
      <c r="BC248" s="132"/>
      <c r="BD248" s="132"/>
      <c r="BE248" s="132"/>
      <c r="BF248" s="132"/>
      <c r="BG248" s="11"/>
      <c r="BH248" s="134"/>
      <c r="BI248" s="132"/>
      <c r="BJ248" s="132"/>
      <c r="BK248" s="132"/>
      <c r="BL248" s="132"/>
    </row>
    <row r="249" customFormat="false" ht="13.8" hidden="false" customHeight="false" outlineLevel="0" collapsed="false">
      <c r="A249" s="140"/>
      <c r="B249" s="140"/>
      <c r="C249" s="168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40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  <c r="AF249" s="132"/>
      <c r="AG249" s="132"/>
      <c r="AH249" s="132"/>
      <c r="AI249" s="132"/>
      <c r="AJ249" s="132"/>
      <c r="AK249" s="132"/>
      <c r="AL249" s="132"/>
      <c r="AM249" s="132"/>
      <c r="AN249" s="132"/>
      <c r="AO249" s="132"/>
      <c r="AP249" s="132"/>
      <c r="AQ249" s="141"/>
      <c r="AR249" s="132"/>
      <c r="AS249" s="132"/>
      <c r="AT249" s="47"/>
      <c r="AU249" s="7"/>
      <c r="AV249" s="134"/>
      <c r="AW249" s="132"/>
      <c r="AX249" s="132"/>
      <c r="AY249" s="132"/>
      <c r="AZ249" s="132"/>
      <c r="BA249" s="10"/>
      <c r="BB249" s="134"/>
      <c r="BC249" s="132"/>
      <c r="BD249" s="132"/>
      <c r="BE249" s="132"/>
      <c r="BF249" s="132"/>
      <c r="BG249" s="11"/>
      <c r="BH249" s="134"/>
      <c r="BI249" s="132"/>
      <c r="BJ249" s="132"/>
      <c r="BK249" s="132"/>
      <c r="BL249" s="132"/>
    </row>
    <row r="250" customFormat="false" ht="13.8" hidden="false" customHeight="false" outlineLevel="0" collapsed="false">
      <c r="A250" s="140"/>
      <c r="B250" s="140"/>
      <c r="C250" s="168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40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  <c r="AF250" s="132"/>
      <c r="AG250" s="132"/>
      <c r="AH250" s="132"/>
      <c r="AI250" s="132"/>
      <c r="AJ250" s="132"/>
      <c r="AK250" s="132"/>
      <c r="AL250" s="132"/>
      <c r="AM250" s="132"/>
      <c r="AN250" s="132"/>
      <c r="AO250" s="132"/>
      <c r="AP250" s="132"/>
      <c r="AQ250" s="141"/>
      <c r="AR250" s="132"/>
      <c r="AS250" s="132"/>
      <c r="AT250" s="47"/>
      <c r="AU250" s="7"/>
      <c r="AV250" s="134"/>
      <c r="AW250" s="132"/>
      <c r="AX250" s="132"/>
      <c r="AY250" s="132"/>
      <c r="AZ250" s="132"/>
      <c r="BA250" s="10"/>
      <c r="BB250" s="134"/>
      <c r="BC250" s="132"/>
      <c r="BD250" s="132"/>
      <c r="BE250" s="132"/>
      <c r="BF250" s="132"/>
      <c r="BG250" s="11"/>
      <c r="BH250" s="134"/>
      <c r="BI250" s="132"/>
      <c r="BJ250" s="132"/>
      <c r="BK250" s="132"/>
      <c r="BL250" s="132"/>
    </row>
    <row r="251" customFormat="false" ht="13.8" hidden="false" customHeight="false" outlineLevel="0" collapsed="false">
      <c r="A251" s="140"/>
      <c r="B251" s="140"/>
      <c r="C251" s="168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40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  <c r="AF251" s="132"/>
      <c r="AG251" s="132"/>
      <c r="AH251" s="132"/>
      <c r="AI251" s="132"/>
      <c r="AJ251" s="132"/>
      <c r="AK251" s="132"/>
      <c r="AL251" s="132"/>
      <c r="AM251" s="132"/>
      <c r="AN251" s="132"/>
      <c r="AO251" s="132"/>
      <c r="AP251" s="132"/>
      <c r="AQ251" s="141"/>
      <c r="AR251" s="132"/>
      <c r="AS251" s="132"/>
      <c r="AT251" s="47"/>
      <c r="AU251" s="7"/>
      <c r="AV251" s="134"/>
      <c r="AW251" s="132"/>
      <c r="AX251" s="132"/>
      <c r="AY251" s="132"/>
      <c r="AZ251" s="132"/>
      <c r="BA251" s="10"/>
      <c r="BB251" s="134"/>
      <c r="BC251" s="132"/>
      <c r="BD251" s="132"/>
      <c r="BE251" s="132"/>
      <c r="BF251" s="132"/>
      <c r="BG251" s="11"/>
      <c r="BH251" s="134"/>
      <c r="BI251" s="132"/>
      <c r="BJ251" s="132"/>
      <c r="BK251" s="132"/>
      <c r="BL251" s="132"/>
    </row>
    <row r="252" customFormat="false" ht="13.8" hidden="false" customHeight="false" outlineLevel="0" collapsed="false">
      <c r="A252" s="140"/>
      <c r="B252" s="140"/>
      <c r="C252" s="168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40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  <c r="AF252" s="132"/>
      <c r="AG252" s="132"/>
      <c r="AH252" s="132"/>
      <c r="AI252" s="132"/>
      <c r="AJ252" s="132"/>
      <c r="AK252" s="132"/>
      <c r="AL252" s="132"/>
      <c r="AM252" s="132"/>
      <c r="AN252" s="132"/>
      <c r="AO252" s="132"/>
      <c r="AP252" s="132"/>
      <c r="AQ252" s="141"/>
      <c r="AR252" s="132"/>
      <c r="AS252" s="132"/>
      <c r="AT252" s="47"/>
      <c r="AU252" s="7"/>
      <c r="AV252" s="134"/>
      <c r="AW252" s="132"/>
      <c r="AX252" s="132"/>
      <c r="AY252" s="132"/>
      <c r="AZ252" s="132"/>
      <c r="BA252" s="10"/>
      <c r="BB252" s="134"/>
      <c r="BC252" s="132"/>
      <c r="BD252" s="132"/>
      <c r="BE252" s="132"/>
      <c r="BF252" s="132"/>
      <c r="BG252" s="11"/>
      <c r="BH252" s="134"/>
      <c r="BI252" s="132"/>
      <c r="BJ252" s="132"/>
      <c r="BK252" s="132"/>
      <c r="BL252" s="132"/>
    </row>
    <row r="253" customFormat="false" ht="13.8" hidden="false" customHeight="false" outlineLevel="0" collapsed="false">
      <c r="A253" s="140"/>
      <c r="B253" s="140"/>
      <c r="C253" s="168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40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  <c r="AF253" s="132"/>
      <c r="AG253" s="132"/>
      <c r="AH253" s="132"/>
      <c r="AI253" s="132"/>
      <c r="AJ253" s="132"/>
      <c r="AK253" s="132"/>
      <c r="AL253" s="132"/>
      <c r="AM253" s="132"/>
      <c r="AN253" s="132"/>
      <c r="AO253" s="132"/>
      <c r="AP253" s="132"/>
      <c r="AQ253" s="141"/>
      <c r="AR253" s="132"/>
      <c r="AS253" s="132"/>
      <c r="AT253" s="47"/>
      <c r="AU253" s="7"/>
      <c r="AV253" s="134"/>
      <c r="AW253" s="132"/>
      <c r="AX253" s="132"/>
      <c r="AY253" s="132"/>
      <c r="AZ253" s="132"/>
      <c r="BA253" s="10"/>
      <c r="BB253" s="134"/>
      <c r="BC253" s="132"/>
      <c r="BD253" s="132"/>
      <c r="BE253" s="132"/>
      <c r="BF253" s="132"/>
      <c r="BG253" s="11"/>
      <c r="BH253" s="134"/>
      <c r="BI253" s="132"/>
      <c r="BJ253" s="132"/>
      <c r="BK253" s="132"/>
      <c r="BL253" s="132"/>
    </row>
    <row r="254" customFormat="false" ht="13.8" hidden="false" customHeight="false" outlineLevel="0" collapsed="false">
      <c r="A254" s="140"/>
      <c r="B254" s="140"/>
      <c r="C254" s="168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40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I254" s="132"/>
      <c r="AJ254" s="132"/>
      <c r="AK254" s="132"/>
      <c r="AL254" s="132"/>
      <c r="AM254" s="132"/>
      <c r="AN254" s="132"/>
      <c r="AO254" s="132"/>
      <c r="AP254" s="132"/>
      <c r="AQ254" s="141"/>
      <c r="AR254" s="132"/>
      <c r="AS254" s="132"/>
      <c r="AT254" s="47"/>
      <c r="AU254" s="7"/>
      <c r="AV254" s="134"/>
      <c r="AW254" s="132"/>
      <c r="AX254" s="132"/>
      <c r="AY254" s="132"/>
      <c r="AZ254" s="132"/>
      <c r="BA254" s="10"/>
      <c r="BB254" s="134"/>
      <c r="BC254" s="132"/>
      <c r="BD254" s="132"/>
      <c r="BE254" s="132"/>
      <c r="BF254" s="132"/>
      <c r="BG254" s="11"/>
      <c r="BH254" s="134"/>
      <c r="BI254" s="132"/>
      <c r="BJ254" s="132"/>
      <c r="BK254" s="132"/>
      <c r="BL254" s="132"/>
    </row>
    <row r="255" customFormat="false" ht="13.8" hidden="false" customHeight="false" outlineLevel="0" collapsed="false">
      <c r="A255" s="140"/>
      <c r="B255" s="140"/>
      <c r="C255" s="168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40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I255" s="132"/>
      <c r="AJ255" s="132"/>
      <c r="AK255" s="132"/>
      <c r="AL255" s="132"/>
      <c r="AM255" s="132"/>
      <c r="AN255" s="132"/>
      <c r="AO255" s="132"/>
      <c r="AP255" s="132"/>
      <c r="AQ255" s="141"/>
      <c r="AR255" s="132"/>
      <c r="AS255" s="132"/>
      <c r="AT255" s="47"/>
      <c r="AU255" s="7"/>
      <c r="AV255" s="134"/>
      <c r="AW255" s="132"/>
      <c r="AX255" s="132"/>
      <c r="AY255" s="132"/>
      <c r="AZ255" s="132"/>
      <c r="BA255" s="10"/>
      <c r="BB255" s="134"/>
      <c r="BC255" s="132"/>
      <c r="BD255" s="132"/>
      <c r="BE255" s="132"/>
      <c r="BF255" s="132"/>
      <c r="BG255" s="11"/>
      <c r="BH255" s="134"/>
      <c r="BI255" s="132"/>
      <c r="BJ255" s="132"/>
      <c r="BK255" s="132"/>
      <c r="BL255" s="132"/>
    </row>
    <row r="256" customFormat="false" ht="13.8" hidden="false" customHeight="false" outlineLevel="0" collapsed="false">
      <c r="A256" s="140"/>
      <c r="B256" s="140"/>
      <c r="C256" s="168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40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  <c r="AF256" s="132"/>
      <c r="AG256" s="132"/>
      <c r="AH256" s="132"/>
      <c r="AI256" s="132"/>
      <c r="AJ256" s="132"/>
      <c r="AK256" s="132"/>
      <c r="AL256" s="132"/>
      <c r="AM256" s="132"/>
      <c r="AN256" s="132"/>
      <c r="AO256" s="132"/>
      <c r="AP256" s="132"/>
      <c r="AQ256" s="141"/>
      <c r="AR256" s="132"/>
      <c r="AS256" s="132"/>
      <c r="AT256" s="47"/>
      <c r="AU256" s="7"/>
      <c r="AV256" s="134"/>
      <c r="AW256" s="132"/>
      <c r="AX256" s="132"/>
      <c r="AY256" s="132"/>
      <c r="AZ256" s="132"/>
      <c r="BA256" s="10"/>
      <c r="BB256" s="134"/>
      <c r="BC256" s="132"/>
      <c r="BD256" s="132"/>
      <c r="BE256" s="132"/>
      <c r="BF256" s="132"/>
      <c r="BG256" s="11"/>
      <c r="BH256" s="134"/>
      <c r="BI256" s="132"/>
      <c r="BJ256" s="132"/>
      <c r="BK256" s="132"/>
      <c r="BL256" s="132"/>
    </row>
    <row r="257" customFormat="false" ht="13.8" hidden="false" customHeight="false" outlineLevel="0" collapsed="false">
      <c r="A257" s="140"/>
      <c r="B257" s="140"/>
      <c r="C257" s="168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40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  <c r="AF257" s="132"/>
      <c r="AG257" s="132"/>
      <c r="AH257" s="132"/>
      <c r="AI257" s="132"/>
      <c r="AJ257" s="132"/>
      <c r="AK257" s="132"/>
      <c r="AL257" s="132"/>
      <c r="AM257" s="132"/>
      <c r="AN257" s="132"/>
      <c r="AO257" s="132"/>
      <c r="AP257" s="132"/>
      <c r="AQ257" s="141"/>
      <c r="AR257" s="132"/>
      <c r="AS257" s="132"/>
      <c r="AT257" s="47"/>
      <c r="AU257" s="7"/>
      <c r="AV257" s="134"/>
      <c r="AW257" s="132"/>
      <c r="AX257" s="132"/>
      <c r="AY257" s="132"/>
      <c r="AZ257" s="132"/>
      <c r="BA257" s="10"/>
      <c r="BB257" s="134"/>
      <c r="BC257" s="132"/>
      <c r="BD257" s="132"/>
      <c r="BE257" s="132"/>
      <c r="BF257" s="132"/>
      <c r="BG257" s="11"/>
      <c r="BH257" s="134"/>
      <c r="BI257" s="132"/>
      <c r="BJ257" s="132"/>
      <c r="BK257" s="132"/>
      <c r="BL257" s="132"/>
    </row>
    <row r="258" customFormat="false" ht="13.8" hidden="false" customHeight="false" outlineLevel="0" collapsed="false">
      <c r="A258" s="140"/>
      <c r="B258" s="140"/>
      <c r="C258" s="168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40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  <c r="AF258" s="132"/>
      <c r="AG258" s="132"/>
      <c r="AH258" s="132"/>
      <c r="AI258" s="132"/>
      <c r="AJ258" s="132"/>
      <c r="AK258" s="132"/>
      <c r="AL258" s="132"/>
      <c r="AM258" s="132"/>
      <c r="AN258" s="132"/>
      <c r="AO258" s="132"/>
      <c r="AP258" s="132"/>
      <c r="AQ258" s="141"/>
      <c r="AR258" s="132"/>
      <c r="AS258" s="132"/>
      <c r="AT258" s="47"/>
      <c r="AU258" s="7"/>
      <c r="AV258" s="134"/>
      <c r="AW258" s="132"/>
      <c r="AX258" s="132"/>
      <c r="AY258" s="132"/>
      <c r="AZ258" s="132"/>
      <c r="BA258" s="10"/>
      <c r="BB258" s="134"/>
      <c r="BC258" s="132"/>
      <c r="BD258" s="132"/>
      <c r="BE258" s="132"/>
      <c r="BF258" s="132"/>
      <c r="BG258" s="11"/>
      <c r="BH258" s="134"/>
      <c r="BI258" s="132"/>
      <c r="BJ258" s="132"/>
      <c r="BK258" s="132"/>
      <c r="BL258" s="132"/>
    </row>
    <row r="259" customFormat="false" ht="13.8" hidden="false" customHeight="false" outlineLevel="0" collapsed="false">
      <c r="A259" s="140"/>
      <c r="B259" s="140"/>
      <c r="C259" s="168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40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  <c r="AF259" s="132"/>
      <c r="AG259" s="132"/>
      <c r="AH259" s="132"/>
      <c r="AI259" s="132"/>
      <c r="AJ259" s="132"/>
      <c r="AK259" s="132"/>
      <c r="AL259" s="132"/>
      <c r="AM259" s="132"/>
      <c r="AN259" s="132"/>
      <c r="AO259" s="132"/>
      <c r="AP259" s="132"/>
      <c r="AQ259" s="141"/>
      <c r="AR259" s="132"/>
      <c r="AS259" s="132"/>
      <c r="AT259" s="47"/>
      <c r="AU259" s="7"/>
      <c r="AV259" s="134"/>
      <c r="AW259" s="132"/>
      <c r="AX259" s="132"/>
      <c r="AY259" s="132"/>
      <c r="AZ259" s="132"/>
      <c r="BA259" s="10"/>
      <c r="BB259" s="134"/>
      <c r="BC259" s="132"/>
      <c r="BD259" s="132"/>
      <c r="BE259" s="132"/>
      <c r="BF259" s="132"/>
      <c r="BG259" s="11"/>
      <c r="BH259" s="134"/>
      <c r="BI259" s="132"/>
      <c r="BJ259" s="132"/>
      <c r="BK259" s="132"/>
      <c r="BL259" s="132"/>
    </row>
    <row r="260" customFormat="false" ht="13.8" hidden="false" customHeight="false" outlineLevel="0" collapsed="false">
      <c r="A260" s="140"/>
      <c r="B260" s="140"/>
      <c r="C260" s="168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40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  <c r="AF260" s="132"/>
      <c r="AG260" s="132"/>
      <c r="AH260" s="132"/>
      <c r="AI260" s="132"/>
      <c r="AJ260" s="132"/>
      <c r="AK260" s="132"/>
      <c r="AL260" s="132"/>
      <c r="AM260" s="132"/>
      <c r="AN260" s="132"/>
      <c r="AO260" s="132"/>
      <c r="AP260" s="132"/>
      <c r="AQ260" s="141"/>
      <c r="AR260" s="132"/>
      <c r="AS260" s="132"/>
      <c r="AT260" s="47"/>
      <c r="AU260" s="7"/>
      <c r="AV260" s="134"/>
      <c r="AW260" s="132"/>
      <c r="AX260" s="132"/>
      <c r="AY260" s="132"/>
      <c r="AZ260" s="132"/>
      <c r="BA260" s="10"/>
      <c r="BB260" s="134"/>
      <c r="BC260" s="132"/>
      <c r="BD260" s="132"/>
      <c r="BE260" s="132"/>
      <c r="BF260" s="132"/>
      <c r="BG260" s="11"/>
      <c r="BH260" s="134"/>
      <c r="BI260" s="132"/>
      <c r="BJ260" s="132"/>
      <c r="BK260" s="132"/>
      <c r="BL260" s="132"/>
    </row>
    <row r="261" customFormat="false" ht="13.8" hidden="false" customHeight="false" outlineLevel="0" collapsed="false">
      <c r="A261" s="140"/>
      <c r="B261" s="140"/>
      <c r="C261" s="168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40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  <c r="AF261" s="132"/>
      <c r="AG261" s="132"/>
      <c r="AH261" s="132"/>
      <c r="AI261" s="132"/>
      <c r="AJ261" s="132"/>
      <c r="AK261" s="132"/>
      <c r="AL261" s="132"/>
      <c r="AM261" s="132"/>
      <c r="AN261" s="132"/>
      <c r="AO261" s="132"/>
      <c r="AP261" s="132"/>
      <c r="AQ261" s="141"/>
      <c r="AR261" s="132"/>
      <c r="AS261" s="132"/>
      <c r="AT261" s="47"/>
      <c r="AU261" s="7"/>
      <c r="AV261" s="134"/>
      <c r="AW261" s="132"/>
      <c r="AX261" s="132"/>
      <c r="AY261" s="132"/>
      <c r="AZ261" s="132"/>
      <c r="BA261" s="10"/>
      <c r="BB261" s="134"/>
      <c r="BC261" s="132"/>
      <c r="BD261" s="132"/>
      <c r="BE261" s="132"/>
      <c r="BF261" s="132"/>
      <c r="BG261" s="11"/>
      <c r="BH261" s="134"/>
      <c r="BI261" s="132"/>
      <c r="BJ261" s="132"/>
      <c r="BK261" s="132"/>
      <c r="BL261" s="132"/>
    </row>
    <row r="262" customFormat="false" ht="13.8" hidden="false" customHeight="false" outlineLevel="0" collapsed="false">
      <c r="A262" s="140"/>
      <c r="B262" s="140"/>
      <c r="C262" s="168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40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132"/>
      <c r="AB262" s="132"/>
      <c r="AC262" s="132"/>
      <c r="AD262" s="132"/>
      <c r="AE262" s="132"/>
      <c r="AF262" s="132"/>
      <c r="AG262" s="132"/>
      <c r="AH262" s="132"/>
      <c r="AI262" s="132"/>
      <c r="AJ262" s="132"/>
      <c r="AK262" s="132"/>
      <c r="AL262" s="132"/>
      <c r="AM262" s="132"/>
      <c r="AN262" s="132"/>
      <c r="AO262" s="132"/>
      <c r="AP262" s="132"/>
      <c r="AQ262" s="141"/>
      <c r="AR262" s="132"/>
      <c r="AS262" s="132"/>
      <c r="AT262" s="47"/>
      <c r="AU262" s="7"/>
      <c r="AV262" s="134"/>
      <c r="AW262" s="132"/>
      <c r="AX262" s="132"/>
      <c r="AY262" s="132"/>
      <c r="AZ262" s="132"/>
      <c r="BA262" s="10"/>
      <c r="BB262" s="134"/>
      <c r="BC262" s="132"/>
      <c r="BD262" s="132"/>
      <c r="BE262" s="132"/>
      <c r="BF262" s="132"/>
      <c r="BG262" s="11"/>
      <c r="BH262" s="134"/>
      <c r="BI262" s="132"/>
      <c r="BJ262" s="132"/>
      <c r="BK262" s="132"/>
      <c r="BL262" s="132"/>
    </row>
    <row r="263" customFormat="false" ht="13.8" hidden="false" customHeight="false" outlineLevel="0" collapsed="false">
      <c r="A263" s="140"/>
      <c r="B263" s="140"/>
      <c r="C263" s="168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40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  <c r="AA263" s="132"/>
      <c r="AB263" s="132"/>
      <c r="AC263" s="132"/>
      <c r="AD263" s="132"/>
      <c r="AE263" s="132"/>
      <c r="AF263" s="132"/>
      <c r="AG263" s="132"/>
      <c r="AH263" s="132"/>
      <c r="AI263" s="132"/>
      <c r="AJ263" s="132"/>
      <c r="AK263" s="132"/>
      <c r="AL263" s="132"/>
      <c r="AM263" s="132"/>
      <c r="AN263" s="132"/>
      <c r="AO263" s="132"/>
      <c r="AP263" s="132"/>
      <c r="AQ263" s="141"/>
      <c r="AR263" s="132"/>
      <c r="AS263" s="132"/>
      <c r="AT263" s="47"/>
      <c r="AU263" s="7"/>
      <c r="AV263" s="134"/>
      <c r="AW263" s="132"/>
      <c r="AX263" s="132"/>
      <c r="AY263" s="132"/>
      <c r="AZ263" s="132"/>
      <c r="BA263" s="10"/>
      <c r="BB263" s="134"/>
      <c r="BC263" s="132"/>
      <c r="BD263" s="132"/>
      <c r="BE263" s="132"/>
      <c r="BF263" s="132"/>
      <c r="BG263" s="11"/>
      <c r="BH263" s="134"/>
      <c r="BI263" s="132"/>
      <c r="BJ263" s="132"/>
      <c r="BK263" s="132"/>
      <c r="BL263" s="132"/>
    </row>
    <row r="264" customFormat="false" ht="13.8" hidden="false" customHeight="false" outlineLevel="0" collapsed="false">
      <c r="A264" s="140"/>
      <c r="B264" s="140"/>
      <c r="C264" s="168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40"/>
      <c r="O264" s="132"/>
      <c r="P264" s="132"/>
      <c r="Q264" s="132"/>
      <c r="R264" s="132"/>
      <c r="S264" s="132"/>
      <c r="T264" s="132"/>
      <c r="U264" s="132"/>
      <c r="V264" s="132"/>
      <c r="W264" s="132"/>
      <c r="X264" s="132"/>
      <c r="Y264" s="132"/>
      <c r="Z264" s="132"/>
      <c r="AA264" s="132"/>
      <c r="AB264" s="132"/>
      <c r="AC264" s="132"/>
      <c r="AD264" s="132"/>
      <c r="AE264" s="132"/>
      <c r="AF264" s="132"/>
      <c r="AG264" s="132"/>
      <c r="AH264" s="132"/>
      <c r="AI264" s="132"/>
      <c r="AJ264" s="132"/>
      <c r="AK264" s="132"/>
      <c r="AL264" s="132"/>
      <c r="AM264" s="132"/>
      <c r="AN264" s="132"/>
      <c r="AO264" s="132"/>
      <c r="AP264" s="132"/>
      <c r="AQ264" s="141"/>
      <c r="AR264" s="132"/>
      <c r="AS264" s="132"/>
      <c r="AT264" s="47"/>
      <c r="AU264" s="7"/>
      <c r="AV264" s="134"/>
      <c r="AW264" s="132"/>
      <c r="AX264" s="132"/>
      <c r="AY264" s="132"/>
      <c r="AZ264" s="132"/>
      <c r="BA264" s="10"/>
      <c r="BB264" s="134"/>
      <c r="BC264" s="132"/>
      <c r="BD264" s="132"/>
      <c r="BE264" s="132"/>
      <c r="BF264" s="132"/>
      <c r="BG264" s="11"/>
      <c r="BH264" s="134"/>
      <c r="BI264" s="132"/>
      <c r="BJ264" s="132"/>
      <c r="BK264" s="132"/>
      <c r="BL264" s="132"/>
    </row>
    <row r="265" customFormat="false" ht="13.8" hidden="false" customHeight="false" outlineLevel="0" collapsed="false">
      <c r="A265" s="140"/>
      <c r="B265" s="140"/>
      <c r="C265" s="168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40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  <c r="AE265" s="132"/>
      <c r="AF265" s="132"/>
      <c r="AG265" s="132"/>
      <c r="AH265" s="132"/>
      <c r="AI265" s="132"/>
      <c r="AJ265" s="132"/>
      <c r="AK265" s="132"/>
      <c r="AL265" s="132"/>
      <c r="AM265" s="132"/>
      <c r="AN265" s="132"/>
      <c r="AO265" s="132"/>
      <c r="AP265" s="132"/>
      <c r="AQ265" s="141"/>
      <c r="AR265" s="132"/>
      <c r="AS265" s="132"/>
      <c r="AT265" s="47"/>
      <c r="AU265" s="7"/>
      <c r="AV265" s="134"/>
      <c r="AW265" s="132"/>
      <c r="AX265" s="132"/>
      <c r="AY265" s="132"/>
      <c r="AZ265" s="132"/>
      <c r="BA265" s="10"/>
      <c r="BB265" s="134"/>
      <c r="BC265" s="132"/>
      <c r="BD265" s="132"/>
      <c r="BE265" s="132"/>
      <c r="BF265" s="132"/>
      <c r="BG265" s="11"/>
      <c r="BH265" s="134"/>
      <c r="BI265" s="132"/>
      <c r="BJ265" s="132"/>
      <c r="BK265" s="132"/>
      <c r="BL265" s="132"/>
    </row>
    <row r="266" customFormat="false" ht="13.8" hidden="false" customHeight="false" outlineLevel="0" collapsed="false">
      <c r="A266" s="140"/>
      <c r="B266" s="140"/>
      <c r="C266" s="168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40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  <c r="AD266" s="132"/>
      <c r="AE266" s="132"/>
      <c r="AF266" s="132"/>
      <c r="AG266" s="132"/>
      <c r="AH266" s="132"/>
      <c r="AI266" s="132"/>
      <c r="AJ266" s="132"/>
      <c r="AK266" s="132"/>
      <c r="AL266" s="132"/>
      <c r="AM266" s="132"/>
      <c r="AN266" s="132"/>
      <c r="AO266" s="132"/>
      <c r="AP266" s="132"/>
      <c r="AQ266" s="141"/>
      <c r="AR266" s="132"/>
      <c r="AS266" s="132"/>
      <c r="AT266" s="47"/>
      <c r="AU266" s="7"/>
      <c r="AV266" s="134"/>
      <c r="AW266" s="132"/>
      <c r="AX266" s="132"/>
      <c r="AY266" s="132"/>
      <c r="AZ266" s="132"/>
      <c r="BA266" s="10"/>
      <c r="BB266" s="134"/>
      <c r="BC266" s="132"/>
      <c r="BD266" s="132"/>
      <c r="BE266" s="132"/>
      <c r="BF266" s="132"/>
      <c r="BG266" s="11"/>
      <c r="BH266" s="134"/>
      <c r="BI266" s="132"/>
      <c r="BJ266" s="132"/>
      <c r="BK266" s="132"/>
      <c r="BL266" s="132"/>
    </row>
    <row r="267" customFormat="false" ht="13.8" hidden="false" customHeight="false" outlineLevel="0" collapsed="false">
      <c r="A267" s="140"/>
      <c r="B267" s="140"/>
      <c r="C267" s="168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40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  <c r="Y267" s="132"/>
      <c r="Z267" s="132"/>
      <c r="AA267" s="132"/>
      <c r="AB267" s="132"/>
      <c r="AC267" s="132"/>
      <c r="AD267" s="132"/>
      <c r="AE267" s="132"/>
      <c r="AF267" s="132"/>
      <c r="AG267" s="132"/>
      <c r="AH267" s="132"/>
      <c r="AI267" s="132"/>
      <c r="AJ267" s="132"/>
      <c r="AK267" s="132"/>
      <c r="AL267" s="132"/>
      <c r="AM267" s="132"/>
      <c r="AN267" s="132"/>
      <c r="AO267" s="132"/>
      <c r="AP267" s="132"/>
      <c r="AQ267" s="141"/>
      <c r="AR267" s="132"/>
      <c r="AS267" s="132"/>
      <c r="AT267" s="47"/>
      <c r="AU267" s="7"/>
      <c r="AV267" s="134"/>
      <c r="AW267" s="132"/>
      <c r="AX267" s="132"/>
      <c r="AY267" s="132"/>
      <c r="AZ267" s="132"/>
      <c r="BA267" s="10"/>
      <c r="BB267" s="134"/>
      <c r="BC267" s="132"/>
      <c r="BD267" s="132"/>
      <c r="BE267" s="132"/>
      <c r="BF267" s="132"/>
      <c r="BG267" s="11"/>
      <c r="BH267" s="134"/>
      <c r="BI267" s="132"/>
      <c r="BJ267" s="132"/>
      <c r="BK267" s="132"/>
      <c r="BL267" s="132"/>
    </row>
    <row r="268" customFormat="false" ht="13.8" hidden="false" customHeight="false" outlineLevel="0" collapsed="false">
      <c r="A268" s="140"/>
      <c r="B268" s="140"/>
      <c r="C268" s="168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40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2"/>
      <c r="AB268" s="132"/>
      <c r="AC268" s="132"/>
      <c r="AD268" s="132"/>
      <c r="AE268" s="132"/>
      <c r="AF268" s="132"/>
      <c r="AG268" s="132"/>
      <c r="AH268" s="132"/>
      <c r="AI268" s="132"/>
      <c r="AJ268" s="132"/>
      <c r="AK268" s="132"/>
      <c r="AL268" s="132"/>
      <c r="AM268" s="132"/>
      <c r="AN268" s="132"/>
      <c r="AO268" s="132"/>
      <c r="AP268" s="132"/>
      <c r="AQ268" s="141"/>
      <c r="AR268" s="132"/>
      <c r="AS268" s="132"/>
      <c r="AT268" s="47"/>
      <c r="AU268" s="7"/>
      <c r="AV268" s="134"/>
      <c r="AW268" s="132"/>
      <c r="AX268" s="132"/>
      <c r="AY268" s="132"/>
      <c r="AZ268" s="132"/>
      <c r="BA268" s="10"/>
      <c r="BB268" s="134"/>
      <c r="BC268" s="132"/>
      <c r="BD268" s="132"/>
      <c r="BE268" s="132"/>
      <c r="BF268" s="132"/>
      <c r="BG268" s="11"/>
      <c r="BH268" s="134"/>
      <c r="BI268" s="132"/>
      <c r="BJ268" s="132"/>
      <c r="BK268" s="132"/>
      <c r="BL268" s="132"/>
    </row>
    <row r="269" customFormat="false" ht="13.8" hidden="false" customHeight="false" outlineLevel="0" collapsed="false">
      <c r="A269" s="140"/>
      <c r="B269" s="140"/>
      <c r="C269" s="168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40"/>
      <c r="O269" s="132"/>
      <c r="P269" s="132"/>
      <c r="Q269" s="132"/>
      <c r="R269" s="132"/>
      <c r="S269" s="132"/>
      <c r="T269" s="132"/>
      <c r="U269" s="132"/>
      <c r="V269" s="132"/>
      <c r="W269" s="132"/>
      <c r="X269" s="132"/>
      <c r="Y269" s="132"/>
      <c r="Z269" s="132"/>
      <c r="AA269" s="132"/>
      <c r="AB269" s="132"/>
      <c r="AC269" s="132"/>
      <c r="AD269" s="132"/>
      <c r="AE269" s="132"/>
      <c r="AF269" s="132"/>
      <c r="AG269" s="132"/>
      <c r="AH269" s="132"/>
      <c r="AI269" s="132"/>
      <c r="AJ269" s="132"/>
      <c r="AK269" s="132"/>
      <c r="AL269" s="132"/>
      <c r="AM269" s="132"/>
      <c r="AN269" s="132"/>
      <c r="AO269" s="132"/>
      <c r="AP269" s="132"/>
      <c r="AQ269" s="141"/>
      <c r="AR269" s="132"/>
      <c r="AS269" s="132"/>
      <c r="AT269" s="47"/>
      <c r="AU269" s="7"/>
      <c r="AV269" s="134"/>
      <c r="AW269" s="132"/>
      <c r="AX269" s="132"/>
      <c r="AY269" s="132"/>
      <c r="AZ269" s="132"/>
      <c r="BA269" s="10"/>
      <c r="BB269" s="134"/>
      <c r="BC269" s="132"/>
      <c r="BD269" s="132"/>
      <c r="BE269" s="132"/>
      <c r="BF269" s="132"/>
      <c r="BG269" s="11"/>
      <c r="BH269" s="134"/>
      <c r="BI269" s="132"/>
      <c r="BJ269" s="132"/>
      <c r="BK269" s="132"/>
      <c r="BL269" s="132"/>
    </row>
    <row r="270" customFormat="false" ht="13.8" hidden="false" customHeight="false" outlineLevel="0" collapsed="false">
      <c r="A270" s="140"/>
      <c r="B270" s="140"/>
      <c r="C270" s="168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40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  <c r="AA270" s="132"/>
      <c r="AB270" s="132"/>
      <c r="AC270" s="132"/>
      <c r="AD270" s="132"/>
      <c r="AE270" s="132"/>
      <c r="AF270" s="132"/>
      <c r="AG270" s="132"/>
      <c r="AH270" s="132"/>
      <c r="AI270" s="132"/>
      <c r="AJ270" s="132"/>
      <c r="AK270" s="132"/>
      <c r="AL270" s="132"/>
      <c r="AM270" s="132"/>
      <c r="AN270" s="132"/>
      <c r="AO270" s="132"/>
      <c r="AP270" s="132"/>
      <c r="AQ270" s="141"/>
      <c r="AR270" s="132"/>
      <c r="AS270" s="132"/>
      <c r="AT270" s="47"/>
      <c r="AU270" s="7"/>
      <c r="AV270" s="134"/>
      <c r="AW270" s="132"/>
      <c r="AX270" s="132"/>
      <c r="AY270" s="132"/>
      <c r="AZ270" s="132"/>
      <c r="BA270" s="10"/>
      <c r="BB270" s="134"/>
      <c r="BC270" s="132"/>
      <c r="BD270" s="132"/>
      <c r="BE270" s="132"/>
      <c r="BF270" s="132"/>
      <c r="BG270" s="11"/>
      <c r="BH270" s="134"/>
      <c r="BI270" s="132"/>
      <c r="BJ270" s="132"/>
      <c r="BK270" s="132"/>
      <c r="BL270" s="132"/>
    </row>
    <row r="271" customFormat="false" ht="13.8" hidden="false" customHeight="false" outlineLevel="0" collapsed="false">
      <c r="A271" s="140"/>
      <c r="B271" s="140"/>
      <c r="C271" s="168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40"/>
      <c r="O271" s="132"/>
      <c r="P271" s="132"/>
      <c r="Q271" s="132"/>
      <c r="R271" s="132"/>
      <c r="S271" s="132"/>
      <c r="T271" s="132"/>
      <c r="U271" s="132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  <c r="AF271" s="132"/>
      <c r="AG271" s="132"/>
      <c r="AH271" s="132"/>
      <c r="AI271" s="132"/>
      <c r="AJ271" s="132"/>
      <c r="AK271" s="132"/>
      <c r="AL271" s="132"/>
      <c r="AM271" s="132"/>
      <c r="AN271" s="132"/>
      <c r="AO271" s="132"/>
      <c r="AP271" s="132"/>
      <c r="AQ271" s="141"/>
      <c r="AR271" s="132"/>
      <c r="AS271" s="132"/>
      <c r="AT271" s="47"/>
      <c r="AU271" s="7"/>
      <c r="AV271" s="134"/>
      <c r="AW271" s="132"/>
      <c r="AX271" s="132"/>
      <c r="AY271" s="132"/>
      <c r="AZ271" s="132"/>
      <c r="BA271" s="10"/>
      <c r="BB271" s="134"/>
      <c r="BC271" s="132"/>
      <c r="BD271" s="132"/>
      <c r="BE271" s="132"/>
      <c r="BF271" s="132"/>
      <c r="BG271" s="11"/>
      <c r="BH271" s="134"/>
      <c r="BI271" s="132"/>
      <c r="BJ271" s="132"/>
      <c r="BK271" s="132"/>
      <c r="BL271" s="132"/>
    </row>
    <row r="272" customFormat="false" ht="13.8" hidden="false" customHeight="false" outlineLevel="0" collapsed="false">
      <c r="A272" s="140"/>
      <c r="B272" s="140"/>
      <c r="C272" s="168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40"/>
      <c r="O272" s="132"/>
      <c r="P272" s="132"/>
      <c r="Q272" s="132"/>
      <c r="R272" s="132"/>
      <c r="S272" s="132"/>
      <c r="T272" s="132"/>
      <c r="U272" s="132"/>
      <c r="V272" s="132"/>
      <c r="W272" s="132"/>
      <c r="X272" s="132"/>
      <c r="Y272" s="132"/>
      <c r="Z272" s="132"/>
      <c r="AA272" s="132"/>
      <c r="AB272" s="132"/>
      <c r="AC272" s="132"/>
      <c r="AD272" s="132"/>
      <c r="AE272" s="132"/>
      <c r="AF272" s="132"/>
      <c r="AG272" s="132"/>
      <c r="AH272" s="132"/>
      <c r="AI272" s="132"/>
      <c r="AJ272" s="132"/>
      <c r="AK272" s="132"/>
      <c r="AL272" s="132"/>
      <c r="AM272" s="132"/>
      <c r="AN272" s="132"/>
      <c r="AO272" s="132"/>
      <c r="AP272" s="132"/>
      <c r="AQ272" s="141"/>
      <c r="AR272" s="132"/>
      <c r="AS272" s="132"/>
      <c r="AT272" s="47"/>
      <c r="AU272" s="7"/>
      <c r="AV272" s="134"/>
      <c r="AW272" s="132"/>
      <c r="AX272" s="132"/>
      <c r="AY272" s="132"/>
      <c r="AZ272" s="132"/>
      <c r="BA272" s="10"/>
      <c r="BB272" s="134"/>
      <c r="BC272" s="132"/>
      <c r="BD272" s="132"/>
      <c r="BE272" s="132"/>
      <c r="BF272" s="132"/>
      <c r="BG272" s="11"/>
      <c r="BH272" s="134"/>
      <c r="BI272" s="132"/>
      <c r="BJ272" s="132"/>
      <c r="BK272" s="132"/>
      <c r="BL272" s="132"/>
    </row>
    <row r="273" customFormat="false" ht="13.8" hidden="false" customHeight="false" outlineLevel="0" collapsed="false">
      <c r="A273" s="140"/>
      <c r="B273" s="140"/>
      <c r="C273" s="168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40"/>
      <c r="O273" s="132"/>
      <c r="P273" s="132"/>
      <c r="Q273" s="132"/>
      <c r="R273" s="132"/>
      <c r="S273" s="132"/>
      <c r="T273" s="132"/>
      <c r="U273" s="132"/>
      <c r="V273" s="132"/>
      <c r="W273" s="132"/>
      <c r="X273" s="132"/>
      <c r="Y273" s="132"/>
      <c r="Z273" s="132"/>
      <c r="AA273" s="132"/>
      <c r="AB273" s="132"/>
      <c r="AC273" s="132"/>
      <c r="AD273" s="132"/>
      <c r="AE273" s="132"/>
      <c r="AF273" s="132"/>
      <c r="AG273" s="132"/>
      <c r="AH273" s="132"/>
      <c r="AI273" s="132"/>
      <c r="AJ273" s="132"/>
      <c r="AK273" s="132"/>
      <c r="AL273" s="132"/>
      <c r="AM273" s="132"/>
      <c r="AN273" s="132"/>
      <c r="AO273" s="132"/>
      <c r="AP273" s="132"/>
      <c r="AQ273" s="141"/>
      <c r="AR273" s="132"/>
      <c r="AS273" s="132"/>
      <c r="AT273" s="47"/>
      <c r="AU273" s="7"/>
      <c r="AV273" s="134"/>
      <c r="AW273" s="132"/>
      <c r="AX273" s="132"/>
      <c r="AY273" s="132"/>
      <c r="AZ273" s="132"/>
      <c r="BA273" s="10"/>
      <c r="BB273" s="134"/>
      <c r="BC273" s="132"/>
      <c r="BD273" s="132"/>
      <c r="BE273" s="132"/>
      <c r="BF273" s="132"/>
      <c r="BG273" s="11"/>
      <c r="BH273" s="134"/>
      <c r="BI273" s="132"/>
      <c r="BJ273" s="132"/>
      <c r="BK273" s="132"/>
      <c r="BL273" s="132"/>
    </row>
    <row r="274" customFormat="false" ht="13.8" hidden="false" customHeight="false" outlineLevel="0" collapsed="false">
      <c r="A274" s="140"/>
      <c r="B274" s="140"/>
      <c r="C274" s="168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40"/>
      <c r="O274" s="132"/>
      <c r="P274" s="132"/>
      <c r="Q274" s="132"/>
      <c r="R274" s="132"/>
      <c r="S274" s="132"/>
      <c r="T274" s="132"/>
      <c r="U274" s="132"/>
      <c r="V274" s="132"/>
      <c r="W274" s="132"/>
      <c r="X274" s="132"/>
      <c r="Y274" s="132"/>
      <c r="Z274" s="132"/>
      <c r="AA274" s="132"/>
      <c r="AB274" s="132"/>
      <c r="AC274" s="132"/>
      <c r="AD274" s="132"/>
      <c r="AE274" s="132"/>
      <c r="AF274" s="132"/>
      <c r="AG274" s="132"/>
      <c r="AH274" s="132"/>
      <c r="AI274" s="132"/>
      <c r="AJ274" s="132"/>
      <c r="AK274" s="132"/>
      <c r="AL274" s="132"/>
      <c r="AM274" s="132"/>
      <c r="AN274" s="132"/>
      <c r="AO274" s="132"/>
      <c r="AP274" s="132"/>
      <c r="AQ274" s="141"/>
      <c r="AR274" s="132"/>
      <c r="AS274" s="132"/>
      <c r="AT274" s="47"/>
      <c r="AU274" s="7"/>
      <c r="AV274" s="134"/>
      <c r="AW274" s="132"/>
      <c r="AX274" s="132"/>
      <c r="AY274" s="132"/>
      <c r="AZ274" s="132"/>
      <c r="BA274" s="10"/>
      <c r="BB274" s="134"/>
      <c r="BC274" s="132"/>
      <c r="BD274" s="132"/>
      <c r="BE274" s="132"/>
      <c r="BF274" s="132"/>
      <c r="BG274" s="11"/>
      <c r="BH274" s="134"/>
      <c r="BI274" s="132"/>
      <c r="BJ274" s="132"/>
      <c r="BK274" s="132"/>
      <c r="BL274" s="132"/>
    </row>
    <row r="275" customFormat="false" ht="13.8" hidden="false" customHeight="false" outlineLevel="0" collapsed="false">
      <c r="A275" s="140"/>
      <c r="B275" s="140"/>
      <c r="C275" s="168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40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  <c r="AA275" s="132"/>
      <c r="AB275" s="132"/>
      <c r="AC275" s="132"/>
      <c r="AD275" s="132"/>
      <c r="AE275" s="132"/>
      <c r="AF275" s="132"/>
      <c r="AG275" s="132"/>
      <c r="AH275" s="132"/>
      <c r="AI275" s="132"/>
      <c r="AJ275" s="132"/>
      <c r="AK275" s="132"/>
      <c r="AL275" s="132"/>
      <c r="AM275" s="132"/>
      <c r="AN275" s="132"/>
      <c r="AO275" s="132"/>
      <c r="AP275" s="132"/>
      <c r="AQ275" s="141"/>
      <c r="AR275" s="132"/>
      <c r="AS275" s="132"/>
      <c r="AT275" s="47"/>
      <c r="AU275" s="7"/>
      <c r="AV275" s="134"/>
      <c r="AW275" s="132"/>
      <c r="AX275" s="132"/>
      <c r="AY275" s="132"/>
      <c r="AZ275" s="132"/>
      <c r="BA275" s="10"/>
      <c r="BB275" s="134"/>
      <c r="BC275" s="132"/>
      <c r="BD275" s="132"/>
      <c r="BE275" s="132"/>
      <c r="BF275" s="132"/>
      <c r="BG275" s="11"/>
      <c r="BH275" s="134"/>
      <c r="BI275" s="132"/>
      <c r="BJ275" s="132"/>
      <c r="BK275" s="132"/>
      <c r="BL275" s="132"/>
    </row>
    <row r="276" customFormat="false" ht="13.8" hidden="false" customHeight="false" outlineLevel="0" collapsed="false">
      <c r="A276" s="140"/>
      <c r="B276" s="140"/>
      <c r="C276" s="168"/>
      <c r="D276" s="132"/>
      <c r="E276" s="132"/>
      <c r="F276" s="132"/>
      <c r="G276" s="132"/>
      <c r="H276" s="132"/>
      <c r="I276" s="132"/>
      <c r="J276" s="132"/>
      <c r="K276" s="132"/>
      <c r="L276" s="132"/>
      <c r="M276" s="132"/>
      <c r="N276" s="140"/>
      <c r="O276" s="132"/>
      <c r="P276" s="132"/>
      <c r="Q276" s="132"/>
      <c r="R276" s="132"/>
      <c r="S276" s="132"/>
      <c r="T276" s="132"/>
      <c r="U276" s="132"/>
      <c r="V276" s="132"/>
      <c r="W276" s="132"/>
      <c r="X276" s="132"/>
      <c r="Y276" s="132"/>
      <c r="Z276" s="132"/>
      <c r="AA276" s="132"/>
      <c r="AB276" s="132"/>
      <c r="AC276" s="132"/>
      <c r="AD276" s="132"/>
      <c r="AE276" s="132"/>
      <c r="AF276" s="132"/>
      <c r="AG276" s="132"/>
      <c r="AH276" s="132"/>
      <c r="AI276" s="132"/>
      <c r="AJ276" s="132"/>
      <c r="AK276" s="132"/>
      <c r="AL276" s="132"/>
      <c r="AM276" s="132"/>
      <c r="AN276" s="132"/>
      <c r="AO276" s="132"/>
      <c r="AP276" s="132"/>
      <c r="AQ276" s="141"/>
      <c r="AR276" s="132"/>
      <c r="AS276" s="132"/>
      <c r="AT276" s="47"/>
      <c r="AU276" s="7"/>
      <c r="AV276" s="134"/>
      <c r="AW276" s="132"/>
      <c r="AX276" s="132"/>
      <c r="AY276" s="132"/>
      <c r="AZ276" s="132"/>
      <c r="BA276" s="10"/>
      <c r="BB276" s="134"/>
      <c r="BC276" s="132"/>
      <c r="BD276" s="132"/>
      <c r="BE276" s="132"/>
      <c r="BF276" s="132"/>
      <c r="BG276" s="11"/>
      <c r="BH276" s="134"/>
      <c r="BI276" s="132"/>
      <c r="BJ276" s="132"/>
      <c r="BK276" s="132"/>
      <c r="BL276" s="132"/>
    </row>
    <row r="277" customFormat="false" ht="13.8" hidden="false" customHeight="false" outlineLevel="0" collapsed="false">
      <c r="A277" s="140"/>
      <c r="B277" s="140"/>
      <c r="C277" s="168"/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40"/>
      <c r="O277" s="132"/>
      <c r="P277" s="132"/>
      <c r="Q277" s="132"/>
      <c r="R277" s="132"/>
      <c r="S277" s="132"/>
      <c r="T277" s="132"/>
      <c r="U277" s="132"/>
      <c r="V277" s="132"/>
      <c r="W277" s="132"/>
      <c r="X277" s="132"/>
      <c r="Y277" s="132"/>
      <c r="Z277" s="132"/>
      <c r="AA277" s="132"/>
      <c r="AB277" s="132"/>
      <c r="AC277" s="132"/>
      <c r="AD277" s="132"/>
      <c r="AE277" s="132"/>
      <c r="AF277" s="132"/>
      <c r="AG277" s="132"/>
      <c r="AH277" s="132"/>
      <c r="AI277" s="132"/>
      <c r="AJ277" s="132"/>
      <c r="AK277" s="132"/>
      <c r="AL277" s="132"/>
      <c r="AM277" s="132"/>
      <c r="AN277" s="132"/>
      <c r="AO277" s="132"/>
      <c r="AP277" s="132"/>
      <c r="AQ277" s="141"/>
      <c r="AR277" s="132"/>
      <c r="AS277" s="132"/>
      <c r="AT277" s="47"/>
      <c r="AU277" s="7"/>
      <c r="AV277" s="134"/>
      <c r="AW277" s="132"/>
      <c r="AX277" s="132"/>
      <c r="AY277" s="132"/>
      <c r="AZ277" s="132"/>
      <c r="BA277" s="10"/>
      <c r="BB277" s="134"/>
      <c r="BC277" s="132"/>
      <c r="BD277" s="132"/>
      <c r="BE277" s="132"/>
      <c r="BF277" s="132"/>
      <c r="BG277" s="11"/>
      <c r="BH277" s="134"/>
      <c r="BI277" s="132"/>
      <c r="BJ277" s="132"/>
      <c r="BK277" s="132"/>
      <c r="BL277" s="132"/>
    </row>
    <row r="278" customFormat="false" ht="13.8" hidden="false" customHeight="false" outlineLevel="0" collapsed="false">
      <c r="A278" s="140"/>
      <c r="B278" s="140"/>
      <c r="C278" s="168"/>
      <c r="D278" s="132"/>
      <c r="E278" s="132"/>
      <c r="F278" s="132"/>
      <c r="G278" s="132"/>
      <c r="H278" s="132"/>
      <c r="I278" s="132"/>
      <c r="J278" s="132"/>
      <c r="K278" s="132"/>
      <c r="L278" s="132"/>
      <c r="M278" s="132"/>
      <c r="N278" s="140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  <c r="Y278" s="132"/>
      <c r="Z278" s="132"/>
      <c r="AA278" s="132"/>
      <c r="AB278" s="132"/>
      <c r="AC278" s="132"/>
      <c r="AD278" s="132"/>
      <c r="AE278" s="132"/>
      <c r="AF278" s="132"/>
      <c r="AG278" s="132"/>
      <c r="AH278" s="132"/>
      <c r="AI278" s="132"/>
      <c r="AJ278" s="132"/>
      <c r="AK278" s="132"/>
      <c r="AL278" s="132"/>
      <c r="AM278" s="132"/>
      <c r="AN278" s="132"/>
      <c r="AO278" s="132"/>
      <c r="AP278" s="132"/>
      <c r="AQ278" s="141"/>
      <c r="AR278" s="132"/>
      <c r="AS278" s="132"/>
      <c r="AT278" s="47"/>
      <c r="AU278" s="7"/>
      <c r="AV278" s="134"/>
      <c r="AW278" s="132"/>
      <c r="AX278" s="132"/>
      <c r="AY278" s="132"/>
      <c r="AZ278" s="132"/>
      <c r="BA278" s="10"/>
      <c r="BB278" s="134"/>
      <c r="BC278" s="132"/>
      <c r="BD278" s="132"/>
      <c r="BE278" s="132"/>
      <c r="BF278" s="132"/>
      <c r="BG278" s="11"/>
      <c r="BH278" s="134"/>
      <c r="BI278" s="132"/>
      <c r="BJ278" s="132"/>
      <c r="BK278" s="132"/>
      <c r="BL278" s="132"/>
    </row>
    <row r="279" customFormat="false" ht="13.8" hidden="false" customHeight="false" outlineLevel="0" collapsed="false">
      <c r="A279" s="140"/>
      <c r="B279" s="140"/>
      <c r="C279" s="168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40"/>
      <c r="O279" s="132"/>
      <c r="P279" s="132"/>
      <c r="Q279" s="132"/>
      <c r="R279" s="132"/>
      <c r="S279" s="132"/>
      <c r="T279" s="132"/>
      <c r="U279" s="132"/>
      <c r="V279" s="132"/>
      <c r="W279" s="132"/>
      <c r="X279" s="132"/>
      <c r="Y279" s="132"/>
      <c r="Z279" s="132"/>
      <c r="AA279" s="132"/>
      <c r="AB279" s="132"/>
      <c r="AC279" s="132"/>
      <c r="AD279" s="132"/>
      <c r="AE279" s="132"/>
      <c r="AF279" s="132"/>
      <c r="AG279" s="132"/>
      <c r="AH279" s="132"/>
      <c r="AI279" s="132"/>
      <c r="AJ279" s="132"/>
      <c r="AK279" s="132"/>
      <c r="AL279" s="132"/>
      <c r="AM279" s="132"/>
      <c r="AN279" s="132"/>
      <c r="AO279" s="132"/>
      <c r="AP279" s="132"/>
      <c r="AQ279" s="141"/>
      <c r="AR279" s="132"/>
      <c r="AS279" s="132"/>
      <c r="AT279" s="47"/>
      <c r="AU279" s="7"/>
      <c r="AV279" s="134"/>
      <c r="AW279" s="132"/>
      <c r="AX279" s="132"/>
      <c r="AY279" s="132"/>
      <c r="AZ279" s="132"/>
      <c r="BA279" s="10"/>
      <c r="BB279" s="134"/>
      <c r="BC279" s="132"/>
      <c r="BD279" s="132"/>
      <c r="BE279" s="132"/>
      <c r="BF279" s="132"/>
      <c r="BG279" s="11"/>
      <c r="BH279" s="134"/>
      <c r="BI279" s="132"/>
      <c r="BJ279" s="132"/>
      <c r="BK279" s="132"/>
      <c r="BL279" s="132"/>
    </row>
    <row r="280" customFormat="false" ht="13.8" hidden="false" customHeight="false" outlineLevel="0" collapsed="false">
      <c r="A280" s="140"/>
      <c r="B280" s="140"/>
      <c r="C280" s="168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40"/>
      <c r="O280" s="132"/>
      <c r="P280" s="132"/>
      <c r="Q280" s="132"/>
      <c r="R280" s="132"/>
      <c r="S280" s="132"/>
      <c r="T280" s="132"/>
      <c r="U280" s="132"/>
      <c r="V280" s="132"/>
      <c r="W280" s="132"/>
      <c r="X280" s="132"/>
      <c r="Y280" s="132"/>
      <c r="Z280" s="132"/>
      <c r="AA280" s="132"/>
      <c r="AB280" s="132"/>
      <c r="AC280" s="132"/>
      <c r="AD280" s="132"/>
      <c r="AE280" s="132"/>
      <c r="AF280" s="132"/>
      <c r="AG280" s="132"/>
      <c r="AH280" s="132"/>
      <c r="AI280" s="132"/>
      <c r="AJ280" s="132"/>
      <c r="AK280" s="132"/>
      <c r="AL280" s="132"/>
      <c r="AM280" s="132"/>
      <c r="AN280" s="132"/>
      <c r="AO280" s="132"/>
      <c r="AP280" s="132"/>
      <c r="AQ280" s="141"/>
      <c r="AR280" s="132"/>
      <c r="AS280" s="132"/>
      <c r="AT280" s="47"/>
      <c r="AU280" s="7"/>
      <c r="AV280" s="134"/>
      <c r="AW280" s="132"/>
      <c r="AX280" s="132"/>
      <c r="AY280" s="132"/>
      <c r="AZ280" s="132"/>
      <c r="BA280" s="10"/>
      <c r="BB280" s="134"/>
      <c r="BC280" s="132"/>
      <c r="BD280" s="132"/>
      <c r="BE280" s="132"/>
      <c r="BF280" s="132"/>
      <c r="BG280" s="11"/>
      <c r="BH280" s="134"/>
      <c r="BI280" s="132"/>
      <c r="BJ280" s="132"/>
      <c r="BK280" s="132"/>
      <c r="BL280" s="132"/>
    </row>
    <row r="281" customFormat="false" ht="13.8" hidden="false" customHeight="false" outlineLevel="0" collapsed="false">
      <c r="A281" s="140"/>
      <c r="B281" s="140"/>
      <c r="C281" s="168"/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40"/>
      <c r="O281" s="132"/>
      <c r="P281" s="132"/>
      <c r="Q281" s="132"/>
      <c r="R281" s="132"/>
      <c r="S281" s="132"/>
      <c r="T281" s="132"/>
      <c r="U281" s="132"/>
      <c r="V281" s="132"/>
      <c r="W281" s="132"/>
      <c r="X281" s="132"/>
      <c r="Y281" s="132"/>
      <c r="Z281" s="132"/>
      <c r="AA281" s="132"/>
      <c r="AB281" s="132"/>
      <c r="AC281" s="132"/>
      <c r="AD281" s="132"/>
      <c r="AE281" s="132"/>
      <c r="AF281" s="132"/>
      <c r="AG281" s="132"/>
      <c r="AH281" s="132"/>
      <c r="AI281" s="132"/>
      <c r="AJ281" s="132"/>
      <c r="AK281" s="132"/>
      <c r="AL281" s="132"/>
      <c r="AM281" s="132"/>
      <c r="AN281" s="132"/>
      <c r="AO281" s="132"/>
      <c r="AP281" s="132"/>
      <c r="AQ281" s="141"/>
      <c r="AR281" s="132"/>
      <c r="AS281" s="132"/>
      <c r="AT281" s="47"/>
      <c r="AU281" s="7"/>
      <c r="AV281" s="134"/>
      <c r="AW281" s="132"/>
      <c r="AX281" s="132"/>
      <c r="AY281" s="132"/>
      <c r="AZ281" s="132"/>
      <c r="BA281" s="10"/>
      <c r="BB281" s="134"/>
      <c r="BC281" s="132"/>
      <c r="BD281" s="132"/>
      <c r="BE281" s="132"/>
      <c r="BF281" s="132"/>
      <c r="BG281" s="11"/>
      <c r="BH281" s="134"/>
      <c r="BI281" s="132"/>
      <c r="BJ281" s="132"/>
      <c r="BK281" s="132"/>
      <c r="BL281" s="132"/>
    </row>
    <row r="282" customFormat="false" ht="13.8" hidden="false" customHeight="false" outlineLevel="0" collapsed="false">
      <c r="A282" s="140"/>
      <c r="B282" s="140"/>
      <c r="C282" s="168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40"/>
      <c r="O282" s="132"/>
      <c r="P282" s="132"/>
      <c r="Q282" s="132"/>
      <c r="R282" s="132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  <c r="AJ282" s="132"/>
      <c r="AK282" s="132"/>
      <c r="AL282" s="132"/>
      <c r="AM282" s="132"/>
      <c r="AN282" s="132"/>
      <c r="AO282" s="132"/>
      <c r="AP282" s="132"/>
      <c r="AQ282" s="141"/>
      <c r="AR282" s="132"/>
      <c r="AS282" s="132"/>
      <c r="AT282" s="47"/>
      <c r="AU282" s="7"/>
      <c r="AV282" s="134"/>
      <c r="AW282" s="132"/>
      <c r="AX282" s="132"/>
      <c r="AY282" s="132"/>
      <c r="AZ282" s="132"/>
      <c r="BA282" s="10"/>
      <c r="BB282" s="134"/>
      <c r="BC282" s="132"/>
      <c r="BD282" s="132"/>
      <c r="BE282" s="132"/>
      <c r="BF282" s="132"/>
      <c r="BG282" s="11"/>
      <c r="BH282" s="134"/>
      <c r="BI282" s="132"/>
      <c r="BJ282" s="132"/>
      <c r="BK282" s="132"/>
      <c r="BL282" s="132"/>
    </row>
    <row r="283" customFormat="false" ht="13.8" hidden="false" customHeight="false" outlineLevel="0" collapsed="false">
      <c r="A283" s="140"/>
      <c r="B283" s="140"/>
      <c r="C283" s="168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40"/>
      <c r="O283" s="132"/>
      <c r="P283" s="132"/>
      <c r="Q283" s="132"/>
      <c r="R283" s="132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  <c r="AF283" s="132"/>
      <c r="AG283" s="132"/>
      <c r="AH283" s="132"/>
      <c r="AI283" s="132"/>
      <c r="AJ283" s="132"/>
      <c r="AK283" s="132"/>
      <c r="AL283" s="132"/>
      <c r="AM283" s="132"/>
      <c r="AN283" s="132"/>
      <c r="AO283" s="132"/>
      <c r="AP283" s="132"/>
      <c r="AQ283" s="141"/>
      <c r="AR283" s="132"/>
      <c r="AS283" s="132"/>
      <c r="AT283" s="47"/>
      <c r="AU283" s="7"/>
      <c r="AV283" s="134"/>
      <c r="AW283" s="132"/>
      <c r="AX283" s="132"/>
      <c r="AY283" s="132"/>
      <c r="AZ283" s="132"/>
      <c r="BA283" s="10"/>
      <c r="BB283" s="134"/>
      <c r="BC283" s="132"/>
      <c r="BD283" s="132"/>
      <c r="BE283" s="132"/>
      <c r="BF283" s="132"/>
      <c r="BG283" s="11"/>
      <c r="BH283" s="134"/>
      <c r="BI283" s="132"/>
      <c r="BJ283" s="132"/>
      <c r="BK283" s="132"/>
      <c r="BL283" s="132"/>
    </row>
    <row r="284" customFormat="false" ht="13.8" hidden="false" customHeight="false" outlineLevel="0" collapsed="false">
      <c r="A284" s="140"/>
      <c r="B284" s="140"/>
      <c r="C284" s="168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40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  <c r="AB284" s="132"/>
      <c r="AC284" s="132"/>
      <c r="AD284" s="132"/>
      <c r="AE284" s="132"/>
      <c r="AF284" s="132"/>
      <c r="AG284" s="132"/>
      <c r="AH284" s="132"/>
      <c r="AI284" s="132"/>
      <c r="AJ284" s="132"/>
      <c r="AK284" s="132"/>
      <c r="AL284" s="132"/>
      <c r="AM284" s="132"/>
      <c r="AN284" s="132"/>
      <c r="AO284" s="132"/>
      <c r="AP284" s="132"/>
      <c r="AQ284" s="141"/>
      <c r="AR284" s="132"/>
      <c r="AS284" s="132"/>
      <c r="AT284" s="47"/>
      <c r="AU284" s="7"/>
      <c r="AV284" s="134"/>
      <c r="AW284" s="132"/>
      <c r="AX284" s="132"/>
      <c r="AY284" s="132"/>
      <c r="AZ284" s="132"/>
      <c r="BA284" s="10"/>
      <c r="BB284" s="134"/>
      <c r="BC284" s="132"/>
      <c r="BD284" s="132"/>
      <c r="BE284" s="132"/>
      <c r="BF284" s="132"/>
      <c r="BG284" s="11"/>
      <c r="BH284" s="134"/>
      <c r="BI284" s="132"/>
      <c r="BJ284" s="132"/>
      <c r="BK284" s="132"/>
      <c r="BL284" s="132"/>
    </row>
    <row r="285" customFormat="false" ht="13.8" hidden="false" customHeight="false" outlineLevel="0" collapsed="false">
      <c r="A285" s="140"/>
      <c r="B285" s="140"/>
      <c r="C285" s="168"/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40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  <c r="AJ285" s="132"/>
      <c r="AK285" s="132"/>
      <c r="AL285" s="132"/>
      <c r="AM285" s="132"/>
      <c r="AN285" s="132"/>
      <c r="AO285" s="132"/>
      <c r="AP285" s="132"/>
      <c r="AQ285" s="141"/>
      <c r="AR285" s="132"/>
      <c r="AS285" s="132"/>
      <c r="AT285" s="47"/>
      <c r="AU285" s="7"/>
      <c r="AV285" s="134"/>
      <c r="AW285" s="132"/>
      <c r="AX285" s="132"/>
      <c r="AY285" s="132"/>
      <c r="AZ285" s="132"/>
      <c r="BA285" s="10"/>
      <c r="BB285" s="134"/>
      <c r="BC285" s="132"/>
      <c r="BD285" s="132"/>
      <c r="BE285" s="132"/>
      <c r="BF285" s="132"/>
      <c r="BG285" s="11"/>
      <c r="BH285" s="134"/>
      <c r="BI285" s="132"/>
      <c r="BJ285" s="132"/>
      <c r="BK285" s="132"/>
      <c r="BL285" s="132"/>
    </row>
    <row r="286" customFormat="false" ht="13.8" hidden="false" customHeight="false" outlineLevel="0" collapsed="false">
      <c r="A286" s="140"/>
      <c r="B286" s="140"/>
      <c r="C286" s="168"/>
      <c r="D286" s="132"/>
      <c r="E286" s="132"/>
      <c r="F286" s="132"/>
      <c r="G286" s="132"/>
      <c r="H286" s="132"/>
      <c r="I286" s="132"/>
      <c r="J286" s="132"/>
      <c r="K286" s="132"/>
      <c r="L286" s="132"/>
      <c r="M286" s="132"/>
      <c r="N286" s="140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  <c r="AF286" s="132"/>
      <c r="AG286" s="132"/>
      <c r="AH286" s="132"/>
      <c r="AI286" s="132"/>
      <c r="AJ286" s="132"/>
      <c r="AK286" s="132"/>
      <c r="AL286" s="132"/>
      <c r="AM286" s="132"/>
      <c r="AN286" s="132"/>
      <c r="AO286" s="132"/>
      <c r="AP286" s="132"/>
      <c r="AQ286" s="141"/>
      <c r="AR286" s="132"/>
      <c r="AS286" s="132"/>
      <c r="AT286" s="47"/>
      <c r="AU286" s="7"/>
      <c r="AV286" s="134"/>
      <c r="AW286" s="132"/>
      <c r="AX286" s="132"/>
      <c r="AY286" s="132"/>
      <c r="AZ286" s="132"/>
      <c r="BA286" s="10"/>
      <c r="BB286" s="134"/>
      <c r="BC286" s="132"/>
      <c r="BD286" s="132"/>
      <c r="BE286" s="132"/>
      <c r="BF286" s="132"/>
      <c r="BG286" s="11"/>
      <c r="BH286" s="134"/>
      <c r="BI286" s="132"/>
      <c r="BJ286" s="132"/>
      <c r="BK286" s="132"/>
      <c r="BL286" s="132"/>
    </row>
    <row r="287" customFormat="false" ht="13.8" hidden="false" customHeight="false" outlineLevel="0" collapsed="false">
      <c r="A287" s="140"/>
      <c r="B287" s="140"/>
      <c r="C287" s="168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40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  <c r="AF287" s="132"/>
      <c r="AG287" s="132"/>
      <c r="AH287" s="132"/>
      <c r="AI287" s="132"/>
      <c r="AJ287" s="132"/>
      <c r="AK287" s="132"/>
      <c r="AL287" s="132"/>
      <c r="AM287" s="132"/>
      <c r="AN287" s="132"/>
      <c r="AO287" s="132"/>
      <c r="AP287" s="132"/>
      <c r="AQ287" s="141"/>
      <c r="AR287" s="132"/>
      <c r="AS287" s="132"/>
      <c r="AT287" s="47"/>
      <c r="AU287" s="7"/>
      <c r="AV287" s="134"/>
      <c r="AW287" s="132"/>
      <c r="AX287" s="132"/>
      <c r="AY287" s="132"/>
      <c r="AZ287" s="132"/>
      <c r="BA287" s="10"/>
      <c r="BB287" s="134"/>
      <c r="BC287" s="132"/>
      <c r="BD287" s="132"/>
      <c r="BE287" s="132"/>
      <c r="BF287" s="132"/>
      <c r="BG287" s="11"/>
      <c r="BH287" s="134"/>
      <c r="BI287" s="132"/>
      <c r="BJ287" s="132"/>
      <c r="BK287" s="132"/>
      <c r="BL287" s="132"/>
    </row>
    <row r="288" customFormat="false" ht="13.8" hidden="false" customHeight="false" outlineLevel="0" collapsed="false">
      <c r="A288" s="140"/>
      <c r="B288" s="140"/>
      <c r="C288" s="168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40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  <c r="AF288" s="132"/>
      <c r="AG288" s="132"/>
      <c r="AH288" s="132"/>
      <c r="AI288" s="132"/>
      <c r="AJ288" s="132"/>
      <c r="AK288" s="132"/>
      <c r="AL288" s="132"/>
      <c r="AM288" s="132"/>
      <c r="AN288" s="132"/>
      <c r="AO288" s="132"/>
      <c r="AP288" s="132"/>
      <c r="AQ288" s="141"/>
      <c r="AR288" s="132"/>
      <c r="AS288" s="132"/>
      <c r="AT288" s="47"/>
      <c r="AU288" s="7"/>
      <c r="AV288" s="134"/>
      <c r="AW288" s="132"/>
      <c r="AX288" s="132"/>
      <c r="AY288" s="132"/>
      <c r="AZ288" s="132"/>
      <c r="BA288" s="10"/>
      <c r="BB288" s="134"/>
      <c r="BC288" s="132"/>
      <c r="BD288" s="132"/>
      <c r="BE288" s="132"/>
      <c r="BF288" s="132"/>
      <c r="BG288" s="11"/>
      <c r="BH288" s="134"/>
      <c r="BI288" s="132"/>
      <c r="BJ288" s="132"/>
      <c r="BK288" s="132"/>
      <c r="BL288" s="132"/>
    </row>
    <row r="289" customFormat="false" ht="13.8" hidden="false" customHeight="false" outlineLevel="0" collapsed="false">
      <c r="A289" s="140"/>
      <c r="B289" s="140"/>
      <c r="C289" s="168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40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2"/>
      <c r="AJ289" s="132"/>
      <c r="AK289" s="132"/>
      <c r="AL289" s="132"/>
      <c r="AM289" s="132"/>
      <c r="AN289" s="132"/>
      <c r="AO289" s="132"/>
      <c r="AP289" s="132"/>
      <c r="AQ289" s="141"/>
      <c r="AR289" s="132"/>
      <c r="AS289" s="132"/>
      <c r="AT289" s="47"/>
      <c r="AU289" s="7"/>
      <c r="AV289" s="134"/>
      <c r="AW289" s="132"/>
      <c r="AX289" s="132"/>
      <c r="AY289" s="132"/>
      <c r="AZ289" s="132"/>
      <c r="BA289" s="10"/>
      <c r="BB289" s="134"/>
      <c r="BC289" s="132"/>
      <c r="BD289" s="132"/>
      <c r="BE289" s="132"/>
      <c r="BF289" s="132"/>
      <c r="BG289" s="11"/>
      <c r="BH289" s="134"/>
      <c r="BI289" s="132"/>
      <c r="BJ289" s="132"/>
      <c r="BK289" s="132"/>
      <c r="BL289" s="132"/>
    </row>
    <row r="290" customFormat="false" ht="13.8" hidden="false" customHeight="false" outlineLevel="0" collapsed="false">
      <c r="A290" s="140"/>
      <c r="B290" s="140"/>
      <c r="C290" s="168"/>
      <c r="D290" s="132"/>
      <c r="E290" s="132"/>
      <c r="F290" s="132"/>
      <c r="G290" s="132"/>
      <c r="H290" s="132"/>
      <c r="I290" s="132"/>
      <c r="J290" s="132"/>
      <c r="K290" s="132"/>
      <c r="L290" s="132"/>
      <c r="M290" s="132"/>
      <c r="N290" s="140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132"/>
      <c r="AH290" s="132"/>
      <c r="AI290" s="132"/>
      <c r="AJ290" s="132"/>
      <c r="AK290" s="132"/>
      <c r="AL290" s="132"/>
      <c r="AM290" s="132"/>
      <c r="AN290" s="132"/>
      <c r="AO290" s="132"/>
      <c r="AP290" s="132"/>
      <c r="AQ290" s="141"/>
      <c r="AR290" s="132"/>
      <c r="AS290" s="132"/>
      <c r="AT290" s="47"/>
      <c r="AU290" s="7"/>
      <c r="AV290" s="134"/>
      <c r="AW290" s="132"/>
      <c r="AX290" s="132"/>
      <c r="AY290" s="132"/>
      <c r="AZ290" s="132"/>
      <c r="BA290" s="10"/>
      <c r="BB290" s="134"/>
      <c r="BC290" s="132"/>
      <c r="BD290" s="132"/>
      <c r="BE290" s="132"/>
      <c r="BF290" s="132"/>
      <c r="BG290" s="11"/>
      <c r="BH290" s="134"/>
      <c r="BI290" s="132"/>
      <c r="BJ290" s="132"/>
      <c r="BK290" s="132"/>
      <c r="BL290" s="132"/>
    </row>
    <row r="291" customFormat="false" ht="13.8" hidden="false" customHeight="false" outlineLevel="0" collapsed="false">
      <c r="A291" s="140"/>
      <c r="B291" s="140"/>
      <c r="C291" s="168"/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40"/>
      <c r="O291" s="132"/>
      <c r="P291" s="132"/>
      <c r="Q291" s="132"/>
      <c r="R291" s="132"/>
      <c r="S291" s="132"/>
      <c r="T291" s="132"/>
      <c r="U291" s="132"/>
      <c r="V291" s="132"/>
      <c r="W291" s="132"/>
      <c r="X291" s="132"/>
      <c r="Y291" s="132"/>
      <c r="Z291" s="132"/>
      <c r="AA291" s="132"/>
      <c r="AB291" s="132"/>
      <c r="AC291" s="132"/>
      <c r="AD291" s="132"/>
      <c r="AE291" s="132"/>
      <c r="AF291" s="132"/>
      <c r="AG291" s="132"/>
      <c r="AH291" s="132"/>
      <c r="AI291" s="132"/>
      <c r="AJ291" s="132"/>
      <c r="AK291" s="132"/>
      <c r="AL291" s="132"/>
      <c r="AM291" s="132"/>
      <c r="AN291" s="132"/>
      <c r="AO291" s="132"/>
      <c r="AP291" s="132"/>
      <c r="AQ291" s="141"/>
      <c r="AR291" s="132"/>
      <c r="AS291" s="132"/>
      <c r="AT291" s="47"/>
      <c r="AU291" s="7"/>
      <c r="AV291" s="134"/>
      <c r="AW291" s="132"/>
      <c r="AX291" s="132"/>
      <c r="AY291" s="132"/>
      <c r="AZ291" s="132"/>
      <c r="BA291" s="10"/>
      <c r="BB291" s="134"/>
      <c r="BC291" s="132"/>
      <c r="BD291" s="132"/>
      <c r="BE291" s="132"/>
      <c r="BF291" s="132"/>
      <c r="BG291" s="11"/>
      <c r="BH291" s="134"/>
      <c r="BI291" s="132"/>
      <c r="BJ291" s="132"/>
      <c r="BK291" s="132"/>
      <c r="BL291" s="132"/>
    </row>
    <row r="292" customFormat="false" ht="13.8" hidden="false" customHeight="false" outlineLevel="0" collapsed="false">
      <c r="A292" s="140"/>
      <c r="B292" s="140"/>
      <c r="C292" s="168"/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40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  <c r="AE292" s="132"/>
      <c r="AF292" s="132"/>
      <c r="AG292" s="132"/>
      <c r="AH292" s="132"/>
      <c r="AI292" s="132"/>
      <c r="AJ292" s="132"/>
      <c r="AK292" s="132"/>
      <c r="AL292" s="132"/>
      <c r="AM292" s="132"/>
      <c r="AN292" s="132"/>
      <c r="AO292" s="132"/>
      <c r="AP292" s="132"/>
      <c r="AQ292" s="141"/>
      <c r="AR292" s="132"/>
      <c r="AS292" s="132"/>
      <c r="AT292" s="47"/>
      <c r="AU292" s="7"/>
      <c r="AV292" s="134"/>
      <c r="AW292" s="132"/>
      <c r="AX292" s="132"/>
      <c r="AY292" s="132"/>
      <c r="AZ292" s="132"/>
      <c r="BA292" s="10"/>
      <c r="BB292" s="134"/>
      <c r="BC292" s="132"/>
      <c r="BD292" s="132"/>
      <c r="BE292" s="132"/>
      <c r="BF292" s="132"/>
      <c r="BG292" s="11"/>
      <c r="BH292" s="134"/>
      <c r="BI292" s="132"/>
      <c r="BJ292" s="132"/>
      <c r="BK292" s="132"/>
      <c r="BL292" s="132"/>
    </row>
    <row r="293" customFormat="false" ht="13.8" hidden="false" customHeight="false" outlineLevel="0" collapsed="false">
      <c r="A293" s="140"/>
      <c r="B293" s="140"/>
      <c r="C293" s="168"/>
      <c r="D293" s="132"/>
      <c r="E293" s="132"/>
      <c r="F293" s="132"/>
      <c r="G293" s="132"/>
      <c r="H293" s="132"/>
      <c r="I293" s="132"/>
      <c r="J293" s="132"/>
      <c r="K293" s="132"/>
      <c r="L293" s="132"/>
      <c r="M293" s="132"/>
      <c r="N293" s="140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  <c r="AD293" s="132"/>
      <c r="AE293" s="132"/>
      <c r="AF293" s="132"/>
      <c r="AG293" s="132"/>
      <c r="AH293" s="132"/>
      <c r="AI293" s="132"/>
      <c r="AJ293" s="132"/>
      <c r="AK293" s="132"/>
      <c r="AL293" s="132"/>
      <c r="AM293" s="132"/>
      <c r="AN293" s="132"/>
      <c r="AO293" s="132"/>
      <c r="AP293" s="132"/>
      <c r="AQ293" s="141"/>
      <c r="AR293" s="132"/>
      <c r="AS293" s="132"/>
      <c r="AT293" s="47"/>
      <c r="AU293" s="7"/>
      <c r="AV293" s="134"/>
      <c r="AW293" s="132"/>
      <c r="AX293" s="132"/>
      <c r="AY293" s="132"/>
      <c r="AZ293" s="132"/>
      <c r="BA293" s="10"/>
      <c r="BB293" s="134"/>
      <c r="BC293" s="132"/>
      <c r="BD293" s="132"/>
      <c r="BE293" s="132"/>
      <c r="BF293" s="132"/>
      <c r="BG293" s="11"/>
      <c r="BH293" s="134"/>
      <c r="BI293" s="132"/>
      <c r="BJ293" s="132"/>
      <c r="BK293" s="132"/>
      <c r="BL293" s="132"/>
    </row>
    <row r="294" customFormat="false" ht="13.8" hidden="false" customHeight="false" outlineLevel="0" collapsed="false">
      <c r="A294" s="140"/>
      <c r="B294" s="140"/>
      <c r="C294" s="168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40"/>
      <c r="O294" s="132"/>
      <c r="P294" s="132"/>
      <c r="Q294" s="132"/>
      <c r="R294" s="132"/>
      <c r="S294" s="132"/>
      <c r="T294" s="132"/>
      <c r="U294" s="132"/>
      <c r="V294" s="132"/>
      <c r="W294" s="132"/>
      <c r="X294" s="132"/>
      <c r="Y294" s="132"/>
      <c r="Z294" s="132"/>
      <c r="AA294" s="132"/>
      <c r="AB294" s="132"/>
      <c r="AC294" s="132"/>
      <c r="AD294" s="132"/>
      <c r="AE294" s="132"/>
      <c r="AF294" s="132"/>
      <c r="AG294" s="132"/>
      <c r="AH294" s="132"/>
      <c r="AI294" s="132"/>
      <c r="AJ294" s="132"/>
      <c r="AK294" s="132"/>
      <c r="AL294" s="132"/>
      <c r="AM294" s="132"/>
      <c r="AN294" s="132"/>
      <c r="AO294" s="132"/>
      <c r="AP294" s="132"/>
      <c r="AQ294" s="141"/>
      <c r="AR294" s="132"/>
      <c r="AS294" s="132"/>
      <c r="AT294" s="47"/>
      <c r="AU294" s="7"/>
      <c r="AV294" s="134"/>
      <c r="AW294" s="132"/>
      <c r="AX294" s="132"/>
      <c r="AY294" s="132"/>
      <c r="AZ294" s="132"/>
      <c r="BA294" s="10"/>
      <c r="BB294" s="134"/>
      <c r="BC294" s="132"/>
      <c r="BD294" s="132"/>
      <c r="BE294" s="132"/>
      <c r="BF294" s="132"/>
      <c r="BG294" s="11"/>
      <c r="BH294" s="134"/>
      <c r="BI294" s="132"/>
      <c r="BJ294" s="132"/>
      <c r="BK294" s="132"/>
      <c r="BL294" s="132"/>
    </row>
    <row r="295" customFormat="false" ht="13.8" hidden="false" customHeight="false" outlineLevel="0" collapsed="false">
      <c r="A295" s="140"/>
      <c r="B295" s="140"/>
      <c r="C295" s="168"/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40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132"/>
      <c r="AG295" s="132"/>
      <c r="AH295" s="132"/>
      <c r="AI295" s="132"/>
      <c r="AJ295" s="132"/>
      <c r="AK295" s="132"/>
      <c r="AL295" s="132"/>
      <c r="AM295" s="132"/>
      <c r="AN295" s="132"/>
      <c r="AO295" s="132"/>
      <c r="AP295" s="132"/>
      <c r="AQ295" s="141"/>
      <c r="AR295" s="132"/>
      <c r="AS295" s="132"/>
      <c r="AT295" s="47"/>
      <c r="AU295" s="7"/>
      <c r="AV295" s="134"/>
      <c r="AW295" s="132"/>
      <c r="AX295" s="132"/>
      <c r="AY295" s="132"/>
      <c r="AZ295" s="132"/>
      <c r="BA295" s="10"/>
      <c r="BB295" s="134"/>
      <c r="BC295" s="132"/>
      <c r="BD295" s="132"/>
      <c r="BE295" s="132"/>
      <c r="BF295" s="132"/>
      <c r="BG295" s="11"/>
      <c r="BH295" s="134"/>
      <c r="BI295" s="132"/>
      <c r="BJ295" s="132"/>
      <c r="BK295" s="132"/>
      <c r="BL295" s="132"/>
    </row>
    <row r="296" customFormat="false" ht="13.8" hidden="false" customHeight="false" outlineLevel="0" collapsed="false">
      <c r="A296" s="140"/>
      <c r="B296" s="140"/>
      <c r="C296" s="168"/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40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  <c r="AF296" s="132"/>
      <c r="AG296" s="132"/>
      <c r="AH296" s="132"/>
      <c r="AI296" s="132"/>
      <c r="AJ296" s="132"/>
      <c r="AK296" s="132"/>
      <c r="AL296" s="132"/>
      <c r="AM296" s="132"/>
      <c r="AN296" s="132"/>
      <c r="AO296" s="132"/>
      <c r="AP296" s="132"/>
      <c r="AQ296" s="141"/>
      <c r="AR296" s="132"/>
      <c r="AS296" s="132"/>
      <c r="AT296" s="47"/>
      <c r="AU296" s="7"/>
      <c r="AV296" s="134"/>
      <c r="AW296" s="132"/>
      <c r="AX296" s="132"/>
      <c r="AY296" s="132"/>
      <c r="AZ296" s="132"/>
      <c r="BA296" s="10"/>
      <c r="BB296" s="134"/>
      <c r="BC296" s="132"/>
      <c r="BD296" s="132"/>
      <c r="BE296" s="132"/>
      <c r="BF296" s="132"/>
      <c r="BG296" s="11"/>
      <c r="BH296" s="134"/>
      <c r="BI296" s="132"/>
      <c r="BJ296" s="132"/>
      <c r="BK296" s="132"/>
      <c r="BL296" s="132"/>
    </row>
    <row r="297" customFormat="false" ht="13.8" hidden="false" customHeight="false" outlineLevel="0" collapsed="false">
      <c r="A297" s="140"/>
      <c r="B297" s="140"/>
      <c r="C297" s="168"/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40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  <c r="AA297" s="132"/>
      <c r="AB297" s="132"/>
      <c r="AC297" s="132"/>
      <c r="AD297" s="132"/>
      <c r="AE297" s="132"/>
      <c r="AF297" s="132"/>
      <c r="AG297" s="132"/>
      <c r="AH297" s="132"/>
      <c r="AI297" s="132"/>
      <c r="AJ297" s="132"/>
      <c r="AK297" s="132"/>
      <c r="AL297" s="132"/>
      <c r="AM297" s="132"/>
      <c r="AN297" s="132"/>
      <c r="AO297" s="132"/>
      <c r="AP297" s="132"/>
      <c r="AQ297" s="141"/>
      <c r="AR297" s="132"/>
      <c r="AS297" s="132"/>
      <c r="AT297" s="47"/>
      <c r="AU297" s="7"/>
      <c r="AV297" s="134"/>
      <c r="AW297" s="132"/>
      <c r="AX297" s="132"/>
      <c r="AY297" s="132"/>
      <c r="AZ297" s="132"/>
      <c r="BA297" s="10"/>
      <c r="BB297" s="134"/>
      <c r="BC297" s="132"/>
      <c r="BD297" s="132"/>
      <c r="BE297" s="132"/>
      <c r="BF297" s="132"/>
      <c r="BG297" s="11"/>
      <c r="BH297" s="134"/>
      <c r="BI297" s="132"/>
      <c r="BJ297" s="132"/>
      <c r="BK297" s="132"/>
      <c r="BL297" s="132"/>
    </row>
    <row r="298" customFormat="false" ht="13.8" hidden="false" customHeight="false" outlineLevel="0" collapsed="false">
      <c r="A298" s="140"/>
      <c r="B298" s="140"/>
      <c r="C298" s="168"/>
      <c r="D298" s="132"/>
      <c r="E298" s="132"/>
      <c r="F298" s="132"/>
      <c r="G298" s="132"/>
      <c r="H298" s="132"/>
      <c r="I298" s="132"/>
      <c r="J298" s="132"/>
      <c r="K298" s="132"/>
      <c r="L298" s="132"/>
      <c r="M298" s="132"/>
      <c r="N298" s="140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  <c r="AA298" s="132"/>
      <c r="AB298" s="132"/>
      <c r="AC298" s="132"/>
      <c r="AD298" s="132"/>
      <c r="AE298" s="132"/>
      <c r="AF298" s="132"/>
      <c r="AG298" s="132"/>
      <c r="AH298" s="132"/>
      <c r="AI298" s="132"/>
      <c r="AJ298" s="132"/>
      <c r="AK298" s="132"/>
      <c r="AL298" s="132"/>
      <c r="AM298" s="132"/>
      <c r="AN298" s="132"/>
      <c r="AO298" s="132"/>
      <c r="AP298" s="132"/>
      <c r="AQ298" s="141"/>
      <c r="AR298" s="132"/>
      <c r="AS298" s="132"/>
      <c r="AT298" s="47"/>
      <c r="AU298" s="7"/>
      <c r="AV298" s="134"/>
      <c r="AW298" s="132"/>
      <c r="AX298" s="132"/>
      <c r="AY298" s="132"/>
      <c r="AZ298" s="132"/>
      <c r="BA298" s="10"/>
      <c r="BB298" s="134"/>
      <c r="BC298" s="132"/>
      <c r="BD298" s="132"/>
      <c r="BE298" s="132"/>
      <c r="BF298" s="132"/>
      <c r="BG298" s="11"/>
      <c r="BH298" s="134"/>
      <c r="BI298" s="132"/>
      <c r="BJ298" s="132"/>
      <c r="BK298" s="132"/>
      <c r="BL298" s="132"/>
    </row>
    <row r="299" customFormat="false" ht="13.8" hidden="false" customHeight="false" outlineLevel="0" collapsed="false">
      <c r="A299" s="140"/>
      <c r="B299" s="140"/>
      <c r="C299" s="168"/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  <c r="N299" s="140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  <c r="AF299" s="132"/>
      <c r="AG299" s="132"/>
      <c r="AH299" s="132"/>
      <c r="AI299" s="132"/>
      <c r="AJ299" s="132"/>
      <c r="AK299" s="132"/>
      <c r="AL299" s="132"/>
      <c r="AM299" s="132"/>
      <c r="AN299" s="132"/>
      <c r="AO299" s="132"/>
      <c r="AP299" s="132"/>
      <c r="AQ299" s="141"/>
      <c r="AR299" s="132"/>
      <c r="AS299" s="132"/>
      <c r="AT299" s="47"/>
      <c r="AU299" s="7"/>
      <c r="AV299" s="134"/>
      <c r="AW299" s="132"/>
      <c r="AX299" s="132"/>
      <c r="AY299" s="132"/>
      <c r="AZ299" s="132"/>
      <c r="BA299" s="10"/>
      <c r="BB299" s="134"/>
      <c r="BC299" s="132"/>
      <c r="BD299" s="132"/>
      <c r="BE299" s="132"/>
      <c r="BF299" s="132"/>
      <c r="BG299" s="11"/>
      <c r="BH299" s="134"/>
      <c r="BI299" s="132"/>
      <c r="BJ299" s="132"/>
      <c r="BK299" s="132"/>
      <c r="BL299" s="132"/>
    </row>
    <row r="300" customFormat="false" ht="13.8" hidden="false" customHeight="false" outlineLevel="0" collapsed="false">
      <c r="A300" s="140"/>
      <c r="B300" s="140"/>
      <c r="C300" s="168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40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  <c r="AF300" s="132"/>
      <c r="AG300" s="132"/>
      <c r="AH300" s="132"/>
      <c r="AI300" s="132"/>
      <c r="AJ300" s="132"/>
      <c r="AK300" s="132"/>
      <c r="AL300" s="132"/>
      <c r="AM300" s="132"/>
      <c r="AN300" s="132"/>
      <c r="AO300" s="132"/>
      <c r="AP300" s="132"/>
      <c r="AQ300" s="141"/>
      <c r="AR300" s="132"/>
      <c r="AS300" s="132"/>
      <c r="AT300" s="47"/>
      <c r="AU300" s="7"/>
      <c r="AV300" s="134"/>
      <c r="AW300" s="132"/>
      <c r="AX300" s="132"/>
      <c r="AY300" s="132"/>
      <c r="AZ300" s="132"/>
      <c r="BA300" s="10"/>
      <c r="BB300" s="134"/>
      <c r="BC300" s="132"/>
      <c r="BD300" s="132"/>
      <c r="BE300" s="132"/>
      <c r="BF300" s="132"/>
      <c r="BG300" s="11"/>
      <c r="BH300" s="134"/>
      <c r="BI300" s="132"/>
      <c r="BJ300" s="132"/>
      <c r="BK300" s="132"/>
      <c r="BL300" s="132"/>
    </row>
    <row r="301" customFormat="false" ht="13.8" hidden="false" customHeight="false" outlineLevel="0" collapsed="false">
      <c r="A301" s="140"/>
      <c r="B301" s="140"/>
      <c r="C301" s="168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40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  <c r="AF301" s="132"/>
      <c r="AG301" s="132"/>
      <c r="AH301" s="132"/>
      <c r="AI301" s="132"/>
      <c r="AJ301" s="132"/>
      <c r="AK301" s="132"/>
      <c r="AL301" s="132"/>
      <c r="AM301" s="132"/>
      <c r="AN301" s="132"/>
      <c r="AO301" s="132"/>
      <c r="AP301" s="132"/>
      <c r="AQ301" s="141"/>
      <c r="AR301" s="132"/>
      <c r="AS301" s="132"/>
      <c r="AT301" s="47"/>
      <c r="AU301" s="7"/>
      <c r="AV301" s="134"/>
      <c r="AW301" s="132"/>
      <c r="AX301" s="132"/>
      <c r="AY301" s="132"/>
      <c r="AZ301" s="132"/>
      <c r="BA301" s="10"/>
      <c r="BB301" s="134"/>
      <c r="BC301" s="132"/>
      <c r="BD301" s="132"/>
      <c r="BE301" s="132"/>
      <c r="BF301" s="132"/>
      <c r="BG301" s="11"/>
      <c r="BH301" s="134"/>
      <c r="BI301" s="132"/>
      <c r="BJ301" s="132"/>
      <c r="BK301" s="132"/>
      <c r="BL301" s="132"/>
    </row>
    <row r="302" customFormat="false" ht="13.8" hidden="false" customHeight="false" outlineLevel="0" collapsed="false">
      <c r="A302" s="140"/>
      <c r="B302" s="140"/>
      <c r="C302" s="168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40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  <c r="AF302" s="132"/>
      <c r="AG302" s="132"/>
      <c r="AH302" s="132"/>
      <c r="AI302" s="132"/>
      <c r="AJ302" s="132"/>
      <c r="AK302" s="132"/>
      <c r="AL302" s="132"/>
      <c r="AM302" s="132"/>
      <c r="AN302" s="132"/>
      <c r="AO302" s="132"/>
      <c r="AP302" s="132"/>
      <c r="AQ302" s="141"/>
      <c r="AR302" s="132"/>
      <c r="AS302" s="132"/>
      <c r="AT302" s="47"/>
      <c r="AU302" s="7"/>
      <c r="AV302" s="134"/>
      <c r="AW302" s="132"/>
      <c r="AX302" s="132"/>
      <c r="AY302" s="132"/>
      <c r="AZ302" s="132"/>
      <c r="BA302" s="10"/>
      <c r="BB302" s="134"/>
      <c r="BC302" s="132"/>
      <c r="BD302" s="132"/>
      <c r="BE302" s="132"/>
      <c r="BF302" s="132"/>
      <c r="BG302" s="11"/>
      <c r="BH302" s="134"/>
      <c r="BI302" s="132"/>
      <c r="BJ302" s="132"/>
      <c r="BK302" s="132"/>
      <c r="BL302" s="132"/>
    </row>
    <row r="303" customFormat="false" ht="13.8" hidden="false" customHeight="false" outlineLevel="0" collapsed="false">
      <c r="A303" s="140"/>
      <c r="B303" s="140"/>
      <c r="C303" s="168"/>
      <c r="D303" s="132"/>
      <c r="E303" s="132"/>
      <c r="F303" s="132"/>
      <c r="G303" s="132"/>
      <c r="H303" s="132"/>
      <c r="I303" s="132"/>
      <c r="J303" s="132"/>
      <c r="K303" s="132"/>
      <c r="L303" s="132"/>
      <c r="M303" s="132"/>
      <c r="N303" s="140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  <c r="AF303" s="132"/>
      <c r="AG303" s="132"/>
      <c r="AH303" s="132"/>
      <c r="AI303" s="132"/>
      <c r="AJ303" s="132"/>
      <c r="AK303" s="132"/>
      <c r="AL303" s="132"/>
      <c r="AM303" s="132"/>
      <c r="AN303" s="132"/>
      <c r="AO303" s="132"/>
      <c r="AP303" s="132"/>
      <c r="AQ303" s="141"/>
      <c r="AR303" s="132"/>
      <c r="AS303" s="132"/>
      <c r="AT303" s="47"/>
      <c r="AU303" s="7"/>
      <c r="AV303" s="134"/>
      <c r="AW303" s="132"/>
      <c r="AX303" s="132"/>
      <c r="AY303" s="132"/>
      <c r="AZ303" s="132"/>
      <c r="BA303" s="10"/>
      <c r="BB303" s="134"/>
      <c r="BC303" s="132"/>
      <c r="BD303" s="132"/>
      <c r="BE303" s="132"/>
      <c r="BF303" s="132"/>
      <c r="BG303" s="11"/>
      <c r="BH303" s="134"/>
      <c r="BI303" s="132"/>
      <c r="BJ303" s="132"/>
      <c r="BK303" s="132"/>
      <c r="BL303" s="132"/>
    </row>
    <row r="304" customFormat="false" ht="13.8" hidden="false" customHeight="false" outlineLevel="0" collapsed="false">
      <c r="A304" s="140"/>
      <c r="B304" s="140"/>
      <c r="C304" s="168"/>
      <c r="D304" s="132"/>
      <c r="E304" s="132"/>
      <c r="F304" s="132"/>
      <c r="G304" s="132"/>
      <c r="H304" s="132"/>
      <c r="I304" s="132"/>
      <c r="J304" s="132"/>
      <c r="K304" s="132"/>
      <c r="L304" s="132"/>
      <c r="M304" s="132"/>
      <c r="N304" s="140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  <c r="AF304" s="132"/>
      <c r="AG304" s="132"/>
      <c r="AH304" s="132"/>
      <c r="AI304" s="132"/>
      <c r="AJ304" s="132"/>
      <c r="AK304" s="132"/>
      <c r="AL304" s="132"/>
      <c r="AM304" s="132"/>
      <c r="AN304" s="132"/>
      <c r="AO304" s="132"/>
      <c r="AP304" s="132"/>
      <c r="AQ304" s="141"/>
      <c r="AR304" s="132"/>
      <c r="AS304" s="132"/>
      <c r="AT304" s="47"/>
      <c r="AU304" s="7"/>
      <c r="AV304" s="134"/>
      <c r="AW304" s="132"/>
      <c r="AX304" s="132"/>
      <c r="AY304" s="132"/>
      <c r="AZ304" s="132"/>
      <c r="BA304" s="10"/>
      <c r="BB304" s="134"/>
      <c r="BC304" s="132"/>
      <c r="BD304" s="132"/>
      <c r="BE304" s="132"/>
      <c r="BF304" s="132"/>
      <c r="BG304" s="11"/>
      <c r="BH304" s="134"/>
      <c r="BI304" s="132"/>
      <c r="BJ304" s="132"/>
      <c r="BK304" s="132"/>
      <c r="BL304" s="132"/>
    </row>
    <row r="305" customFormat="false" ht="13.8" hidden="false" customHeight="false" outlineLevel="0" collapsed="false">
      <c r="A305" s="140"/>
      <c r="B305" s="140"/>
      <c r="C305" s="168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40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  <c r="AA305" s="132"/>
      <c r="AB305" s="132"/>
      <c r="AC305" s="132"/>
      <c r="AD305" s="132"/>
      <c r="AE305" s="132"/>
      <c r="AF305" s="132"/>
      <c r="AG305" s="132"/>
      <c r="AH305" s="132"/>
      <c r="AI305" s="132"/>
      <c r="AJ305" s="132"/>
      <c r="AK305" s="132"/>
      <c r="AL305" s="132"/>
      <c r="AM305" s="132"/>
      <c r="AN305" s="132"/>
      <c r="AO305" s="132"/>
      <c r="AP305" s="132"/>
      <c r="AQ305" s="141"/>
      <c r="AR305" s="132"/>
      <c r="AS305" s="132"/>
      <c r="AT305" s="47"/>
      <c r="AU305" s="7"/>
      <c r="AV305" s="134"/>
      <c r="AW305" s="132"/>
      <c r="AX305" s="132"/>
      <c r="AY305" s="132"/>
      <c r="AZ305" s="132"/>
      <c r="BA305" s="10"/>
      <c r="BB305" s="134"/>
      <c r="BC305" s="132"/>
      <c r="BD305" s="132"/>
      <c r="BE305" s="132"/>
      <c r="BF305" s="132"/>
      <c r="BG305" s="11"/>
      <c r="BH305" s="134"/>
      <c r="BI305" s="132"/>
      <c r="BJ305" s="132"/>
      <c r="BK305" s="132"/>
      <c r="BL305" s="132"/>
    </row>
    <row r="306" customFormat="false" ht="13.8" hidden="false" customHeight="false" outlineLevel="0" collapsed="false">
      <c r="A306" s="140"/>
      <c r="B306" s="140"/>
      <c r="C306" s="168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40"/>
      <c r="O306" s="132"/>
      <c r="P306" s="132"/>
      <c r="Q306" s="132"/>
      <c r="R306" s="132"/>
      <c r="S306" s="132"/>
      <c r="T306" s="132"/>
      <c r="U306" s="132"/>
      <c r="V306" s="132"/>
      <c r="W306" s="132"/>
      <c r="X306" s="132"/>
      <c r="Y306" s="132"/>
      <c r="Z306" s="132"/>
      <c r="AA306" s="132"/>
      <c r="AB306" s="132"/>
      <c r="AC306" s="132"/>
      <c r="AD306" s="132"/>
      <c r="AE306" s="132"/>
      <c r="AF306" s="132"/>
      <c r="AG306" s="132"/>
      <c r="AH306" s="132"/>
      <c r="AI306" s="132"/>
      <c r="AJ306" s="132"/>
      <c r="AK306" s="132"/>
      <c r="AL306" s="132"/>
      <c r="AM306" s="132"/>
      <c r="AN306" s="132"/>
      <c r="AO306" s="132"/>
      <c r="AP306" s="132"/>
      <c r="AQ306" s="141"/>
      <c r="AR306" s="132"/>
      <c r="AS306" s="132"/>
      <c r="AT306" s="47"/>
      <c r="AU306" s="7"/>
      <c r="AV306" s="134"/>
      <c r="AW306" s="132"/>
      <c r="AX306" s="132"/>
      <c r="AY306" s="132"/>
      <c r="AZ306" s="132"/>
      <c r="BA306" s="10"/>
      <c r="BB306" s="134"/>
      <c r="BC306" s="132"/>
      <c r="BD306" s="132"/>
      <c r="BE306" s="132"/>
      <c r="BF306" s="132"/>
      <c r="BG306" s="11"/>
      <c r="BH306" s="134"/>
      <c r="BI306" s="132"/>
      <c r="BJ306" s="132"/>
      <c r="BK306" s="132"/>
      <c r="BL306" s="132"/>
    </row>
    <row r="307" customFormat="false" ht="13.8" hidden="false" customHeight="false" outlineLevel="0" collapsed="false">
      <c r="A307" s="140"/>
      <c r="B307" s="140"/>
      <c r="C307" s="168"/>
      <c r="D307" s="132"/>
      <c r="E307" s="132"/>
      <c r="F307" s="132"/>
      <c r="G307" s="132"/>
      <c r="H307" s="132"/>
      <c r="I307" s="132"/>
      <c r="J307" s="132"/>
      <c r="K307" s="132"/>
      <c r="L307" s="132"/>
      <c r="M307" s="132"/>
      <c r="N307" s="140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  <c r="AF307" s="132"/>
      <c r="AG307" s="132"/>
      <c r="AH307" s="132"/>
      <c r="AI307" s="132"/>
      <c r="AJ307" s="132"/>
      <c r="AK307" s="132"/>
      <c r="AL307" s="132"/>
      <c r="AM307" s="132"/>
      <c r="AN307" s="132"/>
      <c r="AO307" s="132"/>
      <c r="AP307" s="132"/>
      <c r="AQ307" s="141"/>
      <c r="AR307" s="132"/>
      <c r="AS307" s="132"/>
      <c r="AT307" s="47"/>
      <c r="AU307" s="7"/>
      <c r="AV307" s="134"/>
      <c r="AW307" s="132"/>
      <c r="AX307" s="132"/>
      <c r="AY307" s="132"/>
      <c r="AZ307" s="132"/>
      <c r="BA307" s="10"/>
      <c r="BB307" s="134"/>
      <c r="BC307" s="132"/>
      <c r="BD307" s="132"/>
      <c r="BE307" s="132"/>
      <c r="BF307" s="132"/>
      <c r="BG307" s="11"/>
      <c r="BH307" s="134"/>
      <c r="BI307" s="132"/>
      <c r="BJ307" s="132"/>
      <c r="BK307" s="132"/>
      <c r="BL307" s="132"/>
    </row>
    <row r="308" customFormat="false" ht="13.8" hidden="false" customHeight="false" outlineLevel="0" collapsed="false">
      <c r="A308" s="140"/>
      <c r="B308" s="140"/>
      <c r="C308" s="168"/>
      <c r="D308" s="132"/>
      <c r="E308" s="132"/>
      <c r="F308" s="132"/>
      <c r="G308" s="132"/>
      <c r="H308" s="132"/>
      <c r="I308" s="132"/>
      <c r="J308" s="132"/>
      <c r="K308" s="132"/>
      <c r="L308" s="132"/>
      <c r="M308" s="132"/>
      <c r="N308" s="140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  <c r="AB308" s="132"/>
      <c r="AC308" s="132"/>
      <c r="AD308" s="132"/>
      <c r="AE308" s="132"/>
      <c r="AF308" s="132"/>
      <c r="AG308" s="132"/>
      <c r="AH308" s="132"/>
      <c r="AI308" s="132"/>
      <c r="AJ308" s="132"/>
      <c r="AK308" s="132"/>
      <c r="AL308" s="132"/>
      <c r="AM308" s="132"/>
      <c r="AN308" s="132"/>
      <c r="AO308" s="132"/>
      <c r="AP308" s="132"/>
      <c r="AQ308" s="141"/>
      <c r="AR308" s="132"/>
      <c r="AS308" s="132"/>
      <c r="AT308" s="47"/>
      <c r="AU308" s="7"/>
      <c r="AV308" s="134"/>
      <c r="AW308" s="132"/>
      <c r="AX308" s="132"/>
      <c r="AY308" s="132"/>
      <c r="AZ308" s="132"/>
      <c r="BA308" s="10"/>
      <c r="BB308" s="134"/>
      <c r="BC308" s="132"/>
      <c r="BD308" s="132"/>
      <c r="BE308" s="132"/>
      <c r="BF308" s="132"/>
      <c r="BG308" s="11"/>
      <c r="BH308" s="134"/>
      <c r="BI308" s="132"/>
      <c r="BJ308" s="132"/>
      <c r="BK308" s="132"/>
      <c r="BL308" s="132"/>
    </row>
    <row r="309" customFormat="false" ht="13.8" hidden="false" customHeight="false" outlineLevel="0" collapsed="false">
      <c r="A309" s="140"/>
      <c r="B309" s="140"/>
      <c r="C309" s="168"/>
      <c r="D309" s="132"/>
      <c r="E309" s="132"/>
      <c r="F309" s="132"/>
      <c r="G309" s="132"/>
      <c r="H309" s="132"/>
      <c r="I309" s="132"/>
      <c r="J309" s="132"/>
      <c r="K309" s="132"/>
      <c r="L309" s="132"/>
      <c r="M309" s="132"/>
      <c r="N309" s="140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  <c r="AF309" s="132"/>
      <c r="AG309" s="132"/>
      <c r="AH309" s="132"/>
      <c r="AI309" s="132"/>
      <c r="AJ309" s="132"/>
      <c r="AK309" s="132"/>
      <c r="AL309" s="132"/>
      <c r="AM309" s="132"/>
      <c r="AN309" s="132"/>
      <c r="AO309" s="132"/>
      <c r="AP309" s="132"/>
      <c r="AQ309" s="141"/>
      <c r="AR309" s="132"/>
      <c r="AS309" s="132"/>
      <c r="AT309" s="47"/>
      <c r="AU309" s="7"/>
      <c r="AV309" s="134"/>
      <c r="AW309" s="132"/>
      <c r="AX309" s="132"/>
      <c r="AY309" s="132"/>
      <c r="AZ309" s="132"/>
      <c r="BA309" s="10"/>
      <c r="BB309" s="134"/>
      <c r="BC309" s="132"/>
      <c r="BD309" s="132"/>
      <c r="BE309" s="132"/>
      <c r="BF309" s="132"/>
      <c r="BG309" s="11"/>
      <c r="BH309" s="134"/>
      <c r="BI309" s="132"/>
      <c r="BJ309" s="132"/>
      <c r="BK309" s="132"/>
      <c r="BL309" s="132"/>
    </row>
    <row r="310" customFormat="false" ht="13.8" hidden="false" customHeight="false" outlineLevel="0" collapsed="false">
      <c r="A310" s="140"/>
      <c r="B310" s="140"/>
      <c r="C310" s="168"/>
      <c r="D310" s="132"/>
      <c r="E310" s="132"/>
      <c r="F310" s="132"/>
      <c r="G310" s="132"/>
      <c r="H310" s="132"/>
      <c r="I310" s="132"/>
      <c r="J310" s="132"/>
      <c r="K310" s="132"/>
      <c r="L310" s="132"/>
      <c r="M310" s="132"/>
      <c r="N310" s="140"/>
      <c r="O310" s="132"/>
      <c r="P310" s="132"/>
      <c r="Q310" s="132"/>
      <c r="R310" s="132"/>
      <c r="S310" s="132"/>
      <c r="T310" s="132"/>
      <c r="U310" s="132"/>
      <c r="V310" s="132"/>
      <c r="W310" s="132"/>
      <c r="X310" s="132"/>
      <c r="Y310" s="132"/>
      <c r="Z310" s="132"/>
      <c r="AA310" s="132"/>
      <c r="AB310" s="132"/>
      <c r="AC310" s="132"/>
      <c r="AD310" s="132"/>
      <c r="AE310" s="132"/>
      <c r="AF310" s="132"/>
      <c r="AG310" s="132"/>
      <c r="AH310" s="132"/>
      <c r="AI310" s="132"/>
      <c r="AJ310" s="132"/>
      <c r="AK310" s="132"/>
      <c r="AL310" s="132"/>
      <c r="AM310" s="132"/>
      <c r="AN310" s="132"/>
      <c r="AO310" s="132"/>
      <c r="AP310" s="132"/>
      <c r="AQ310" s="141"/>
      <c r="AR310" s="132"/>
      <c r="AS310" s="132"/>
      <c r="AT310" s="47"/>
      <c r="AU310" s="7"/>
      <c r="AV310" s="134"/>
      <c r="AW310" s="132"/>
      <c r="AX310" s="132"/>
      <c r="AY310" s="132"/>
      <c r="AZ310" s="132"/>
      <c r="BA310" s="10"/>
      <c r="BB310" s="134"/>
      <c r="BC310" s="132"/>
      <c r="BD310" s="132"/>
      <c r="BE310" s="132"/>
      <c r="BF310" s="132"/>
      <c r="BG310" s="11"/>
      <c r="BH310" s="134"/>
      <c r="BI310" s="132"/>
      <c r="BJ310" s="132"/>
      <c r="BK310" s="132"/>
      <c r="BL310" s="132"/>
    </row>
    <row r="311" customFormat="false" ht="13.8" hidden="false" customHeight="false" outlineLevel="0" collapsed="false">
      <c r="A311" s="140"/>
      <c r="B311" s="140"/>
      <c r="C311" s="168"/>
      <c r="D311" s="132"/>
      <c r="E311" s="132"/>
      <c r="F311" s="132"/>
      <c r="G311" s="132"/>
      <c r="H311" s="132"/>
      <c r="I311" s="132"/>
      <c r="J311" s="132"/>
      <c r="K311" s="132"/>
      <c r="L311" s="132"/>
      <c r="M311" s="132"/>
      <c r="N311" s="140"/>
      <c r="O311" s="132"/>
      <c r="P311" s="132"/>
      <c r="Q311" s="132"/>
      <c r="R311" s="132"/>
      <c r="S311" s="132"/>
      <c r="T311" s="132"/>
      <c r="U311" s="132"/>
      <c r="V311" s="132"/>
      <c r="W311" s="132"/>
      <c r="X311" s="132"/>
      <c r="Y311" s="132"/>
      <c r="Z311" s="132"/>
      <c r="AA311" s="132"/>
      <c r="AB311" s="132"/>
      <c r="AC311" s="132"/>
      <c r="AD311" s="132"/>
      <c r="AE311" s="132"/>
      <c r="AF311" s="132"/>
      <c r="AG311" s="132"/>
      <c r="AH311" s="132"/>
      <c r="AI311" s="132"/>
      <c r="AJ311" s="132"/>
      <c r="AK311" s="132"/>
      <c r="AL311" s="132"/>
      <c r="AM311" s="132"/>
      <c r="AN311" s="132"/>
      <c r="AO311" s="132"/>
      <c r="AP311" s="132"/>
      <c r="AQ311" s="141"/>
      <c r="AR311" s="132"/>
      <c r="AS311" s="132"/>
      <c r="AT311" s="47"/>
      <c r="AU311" s="7"/>
      <c r="AV311" s="134"/>
      <c r="AW311" s="132"/>
      <c r="AX311" s="132"/>
      <c r="AY311" s="132"/>
      <c r="AZ311" s="132"/>
      <c r="BA311" s="10"/>
      <c r="BB311" s="134"/>
      <c r="BC311" s="132"/>
      <c r="BD311" s="132"/>
      <c r="BE311" s="132"/>
      <c r="BF311" s="132"/>
      <c r="BG311" s="11"/>
      <c r="BH311" s="134"/>
      <c r="BI311" s="132"/>
      <c r="BJ311" s="132"/>
      <c r="BK311" s="132"/>
      <c r="BL311" s="132"/>
    </row>
    <row r="312" customFormat="false" ht="13.8" hidden="false" customHeight="false" outlineLevel="0" collapsed="false">
      <c r="A312" s="140"/>
      <c r="B312" s="140"/>
      <c r="C312" s="168"/>
      <c r="D312" s="132"/>
      <c r="E312" s="132"/>
      <c r="F312" s="132"/>
      <c r="G312" s="132"/>
      <c r="H312" s="132"/>
      <c r="I312" s="132"/>
      <c r="J312" s="132"/>
      <c r="K312" s="132"/>
      <c r="L312" s="132"/>
      <c r="M312" s="132"/>
      <c r="N312" s="140"/>
      <c r="O312" s="132"/>
      <c r="P312" s="132"/>
      <c r="Q312" s="132"/>
      <c r="R312" s="132"/>
      <c r="S312" s="132"/>
      <c r="T312" s="132"/>
      <c r="U312" s="132"/>
      <c r="V312" s="132"/>
      <c r="W312" s="132"/>
      <c r="X312" s="132"/>
      <c r="Y312" s="132"/>
      <c r="Z312" s="132"/>
      <c r="AA312" s="132"/>
      <c r="AB312" s="132"/>
      <c r="AC312" s="132"/>
      <c r="AD312" s="132"/>
      <c r="AE312" s="132"/>
      <c r="AF312" s="132"/>
      <c r="AG312" s="132"/>
      <c r="AH312" s="132"/>
      <c r="AI312" s="132"/>
      <c r="AJ312" s="132"/>
      <c r="AK312" s="132"/>
      <c r="AL312" s="132"/>
      <c r="AM312" s="132"/>
      <c r="AN312" s="132"/>
      <c r="AO312" s="132"/>
      <c r="AP312" s="132"/>
      <c r="AQ312" s="141"/>
      <c r="AR312" s="132"/>
      <c r="AS312" s="132"/>
      <c r="AT312" s="47"/>
      <c r="AU312" s="7"/>
      <c r="AV312" s="134"/>
      <c r="AW312" s="132"/>
      <c r="AX312" s="132"/>
      <c r="AY312" s="132"/>
      <c r="AZ312" s="132"/>
      <c r="BA312" s="10"/>
      <c r="BB312" s="134"/>
      <c r="BC312" s="132"/>
      <c r="BD312" s="132"/>
      <c r="BE312" s="132"/>
      <c r="BF312" s="132"/>
      <c r="BG312" s="11"/>
      <c r="BH312" s="134"/>
      <c r="BI312" s="132"/>
      <c r="BJ312" s="132"/>
      <c r="BK312" s="132"/>
      <c r="BL312" s="132"/>
    </row>
    <row r="313" customFormat="false" ht="13.8" hidden="false" customHeight="false" outlineLevel="0" collapsed="false">
      <c r="A313" s="140"/>
      <c r="B313" s="140"/>
      <c r="C313" s="168"/>
      <c r="D313" s="132"/>
      <c r="E313" s="132"/>
      <c r="F313" s="132"/>
      <c r="G313" s="132"/>
      <c r="H313" s="132"/>
      <c r="I313" s="132"/>
      <c r="J313" s="132"/>
      <c r="K313" s="132"/>
      <c r="L313" s="132"/>
      <c r="M313" s="132"/>
      <c r="N313" s="140"/>
      <c r="O313" s="132"/>
      <c r="P313" s="132"/>
      <c r="Q313" s="132"/>
      <c r="R313" s="132"/>
      <c r="S313" s="132"/>
      <c r="T313" s="132"/>
      <c r="U313" s="132"/>
      <c r="V313" s="132"/>
      <c r="W313" s="132"/>
      <c r="X313" s="132"/>
      <c r="Y313" s="132"/>
      <c r="Z313" s="132"/>
      <c r="AA313" s="132"/>
      <c r="AB313" s="132"/>
      <c r="AC313" s="132"/>
      <c r="AD313" s="132"/>
      <c r="AE313" s="132"/>
      <c r="AF313" s="132"/>
      <c r="AG313" s="132"/>
      <c r="AH313" s="132"/>
      <c r="AI313" s="132"/>
      <c r="AJ313" s="132"/>
      <c r="AK313" s="132"/>
      <c r="AL313" s="132"/>
      <c r="AM313" s="132"/>
      <c r="AN313" s="132"/>
      <c r="AO313" s="132"/>
      <c r="AP313" s="132"/>
      <c r="AQ313" s="141"/>
      <c r="AR313" s="132"/>
      <c r="AS313" s="132"/>
      <c r="AT313" s="47"/>
      <c r="AU313" s="7"/>
      <c r="AV313" s="134"/>
      <c r="AW313" s="132"/>
      <c r="AX313" s="132"/>
      <c r="AY313" s="132"/>
      <c r="AZ313" s="132"/>
      <c r="BA313" s="10"/>
      <c r="BB313" s="134"/>
      <c r="BC313" s="132"/>
      <c r="BD313" s="132"/>
      <c r="BE313" s="132"/>
      <c r="BF313" s="132"/>
      <c r="BG313" s="11"/>
      <c r="BH313" s="134"/>
      <c r="BI313" s="132"/>
      <c r="BJ313" s="132"/>
      <c r="BK313" s="132"/>
      <c r="BL313" s="132"/>
    </row>
    <row r="314" customFormat="false" ht="13.8" hidden="false" customHeight="false" outlineLevel="0" collapsed="false">
      <c r="A314" s="140"/>
      <c r="B314" s="140"/>
      <c r="C314" s="168"/>
      <c r="D314" s="132"/>
      <c r="E314" s="132"/>
      <c r="F314" s="132"/>
      <c r="G314" s="132"/>
      <c r="H314" s="132"/>
      <c r="I314" s="132"/>
      <c r="J314" s="132"/>
      <c r="K314" s="132"/>
      <c r="L314" s="132"/>
      <c r="M314" s="132"/>
      <c r="N314" s="140"/>
      <c r="O314" s="132"/>
      <c r="P314" s="132"/>
      <c r="Q314" s="132"/>
      <c r="R314" s="132"/>
      <c r="S314" s="132"/>
      <c r="T314" s="132"/>
      <c r="U314" s="132"/>
      <c r="V314" s="132"/>
      <c r="W314" s="132"/>
      <c r="X314" s="132"/>
      <c r="Y314" s="132"/>
      <c r="Z314" s="132"/>
      <c r="AA314" s="132"/>
      <c r="AB314" s="132"/>
      <c r="AC314" s="132"/>
      <c r="AD314" s="132"/>
      <c r="AE314" s="132"/>
      <c r="AF314" s="132"/>
      <c r="AG314" s="132"/>
      <c r="AH314" s="132"/>
      <c r="AI314" s="132"/>
      <c r="AJ314" s="132"/>
      <c r="AK314" s="132"/>
      <c r="AL314" s="132"/>
      <c r="AM314" s="132"/>
      <c r="AN314" s="132"/>
      <c r="AO314" s="132"/>
      <c r="AP314" s="132"/>
      <c r="AQ314" s="141"/>
      <c r="AR314" s="132"/>
      <c r="AS314" s="132"/>
      <c r="AT314" s="47"/>
      <c r="AU314" s="7"/>
      <c r="AV314" s="134"/>
      <c r="AW314" s="132"/>
      <c r="AX314" s="132"/>
      <c r="AY314" s="132"/>
      <c r="AZ314" s="132"/>
      <c r="BA314" s="10"/>
      <c r="BB314" s="134"/>
      <c r="BC314" s="132"/>
      <c r="BD314" s="132"/>
      <c r="BE314" s="132"/>
      <c r="BF314" s="132"/>
      <c r="BG314" s="11"/>
      <c r="BH314" s="134"/>
      <c r="BI314" s="132"/>
      <c r="BJ314" s="132"/>
      <c r="BK314" s="132"/>
      <c r="BL314" s="132"/>
    </row>
    <row r="315" customFormat="false" ht="13.8" hidden="false" customHeight="false" outlineLevel="0" collapsed="false">
      <c r="A315" s="140"/>
      <c r="B315" s="140"/>
      <c r="C315" s="168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40"/>
      <c r="O315" s="132"/>
      <c r="P315" s="132"/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  <c r="AF315" s="132"/>
      <c r="AG315" s="132"/>
      <c r="AH315" s="132"/>
      <c r="AI315" s="132"/>
      <c r="AJ315" s="132"/>
      <c r="AK315" s="132"/>
      <c r="AL315" s="132"/>
      <c r="AM315" s="132"/>
      <c r="AN315" s="132"/>
      <c r="AO315" s="132"/>
      <c r="AP315" s="132"/>
      <c r="AQ315" s="141"/>
      <c r="AR315" s="132"/>
      <c r="AS315" s="132"/>
      <c r="AT315" s="47"/>
      <c r="AU315" s="7"/>
      <c r="AV315" s="134"/>
      <c r="AW315" s="132"/>
      <c r="AX315" s="132"/>
      <c r="AY315" s="132"/>
      <c r="AZ315" s="132"/>
      <c r="BA315" s="10"/>
      <c r="BB315" s="134"/>
      <c r="BC315" s="132"/>
      <c r="BD315" s="132"/>
      <c r="BE315" s="132"/>
      <c r="BF315" s="132"/>
      <c r="BG315" s="11"/>
      <c r="BH315" s="134"/>
      <c r="BI315" s="132"/>
      <c r="BJ315" s="132"/>
      <c r="BK315" s="132"/>
      <c r="BL315" s="132"/>
    </row>
    <row r="316" customFormat="false" ht="13.8" hidden="false" customHeight="false" outlineLevel="0" collapsed="false">
      <c r="A316" s="140"/>
      <c r="B316" s="140"/>
      <c r="C316" s="168"/>
      <c r="D316" s="132"/>
      <c r="E316" s="132"/>
      <c r="F316" s="132"/>
      <c r="G316" s="132"/>
      <c r="H316" s="132"/>
      <c r="I316" s="132"/>
      <c r="J316" s="132"/>
      <c r="K316" s="132"/>
      <c r="L316" s="132"/>
      <c r="M316" s="132"/>
      <c r="N316" s="140"/>
      <c r="O316" s="132"/>
      <c r="P316" s="132"/>
      <c r="Q316" s="132"/>
      <c r="R316" s="132"/>
      <c r="S316" s="132"/>
      <c r="T316" s="132"/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  <c r="AF316" s="132"/>
      <c r="AG316" s="132"/>
      <c r="AH316" s="132"/>
      <c r="AI316" s="132"/>
      <c r="AJ316" s="132"/>
      <c r="AK316" s="132"/>
      <c r="AL316" s="132"/>
      <c r="AM316" s="132"/>
      <c r="AN316" s="132"/>
      <c r="AO316" s="132"/>
      <c r="AP316" s="132"/>
      <c r="AQ316" s="141"/>
      <c r="AR316" s="132"/>
      <c r="AS316" s="132"/>
      <c r="AT316" s="47"/>
      <c r="AU316" s="7"/>
      <c r="AV316" s="134"/>
      <c r="AW316" s="132"/>
      <c r="AX316" s="132"/>
      <c r="AY316" s="132"/>
      <c r="AZ316" s="132"/>
      <c r="BA316" s="10"/>
      <c r="BB316" s="134"/>
      <c r="BC316" s="132"/>
      <c r="BD316" s="132"/>
      <c r="BE316" s="132"/>
      <c r="BF316" s="132"/>
      <c r="BG316" s="11"/>
      <c r="BH316" s="134"/>
      <c r="BI316" s="132"/>
      <c r="BJ316" s="132"/>
      <c r="BK316" s="132"/>
      <c r="BL316" s="132"/>
    </row>
    <row r="317" customFormat="false" ht="13.8" hidden="false" customHeight="false" outlineLevel="0" collapsed="false">
      <c r="A317" s="140"/>
      <c r="B317" s="140"/>
      <c r="C317" s="168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40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  <c r="AF317" s="132"/>
      <c r="AG317" s="132"/>
      <c r="AH317" s="132"/>
      <c r="AI317" s="132"/>
      <c r="AJ317" s="132"/>
      <c r="AK317" s="132"/>
      <c r="AL317" s="132"/>
      <c r="AM317" s="132"/>
      <c r="AN317" s="132"/>
      <c r="AO317" s="132"/>
      <c r="AP317" s="132"/>
      <c r="AQ317" s="141"/>
      <c r="AR317" s="132"/>
      <c r="AS317" s="132"/>
      <c r="AT317" s="47"/>
      <c r="AU317" s="7"/>
      <c r="AV317" s="134"/>
      <c r="AW317" s="132"/>
      <c r="AX317" s="132"/>
      <c r="AY317" s="132"/>
      <c r="AZ317" s="132"/>
      <c r="BA317" s="10"/>
      <c r="BB317" s="134"/>
      <c r="BC317" s="132"/>
      <c r="BD317" s="132"/>
      <c r="BE317" s="132"/>
      <c r="BF317" s="132"/>
      <c r="BG317" s="11"/>
      <c r="BH317" s="134"/>
      <c r="BI317" s="132"/>
      <c r="BJ317" s="132"/>
      <c r="BK317" s="132"/>
      <c r="BL317" s="132"/>
    </row>
    <row r="318" customFormat="false" ht="13.8" hidden="false" customHeight="false" outlineLevel="0" collapsed="false">
      <c r="A318" s="140"/>
      <c r="B318" s="140"/>
      <c r="C318" s="168"/>
      <c r="D318" s="132"/>
      <c r="E318" s="132"/>
      <c r="F318" s="132"/>
      <c r="G318" s="132"/>
      <c r="H318" s="132"/>
      <c r="I318" s="132"/>
      <c r="J318" s="132"/>
      <c r="K318" s="132"/>
      <c r="L318" s="132"/>
      <c r="M318" s="132"/>
      <c r="N318" s="140"/>
      <c r="O318" s="132"/>
      <c r="P318" s="132"/>
      <c r="Q318" s="132"/>
      <c r="R318" s="132"/>
      <c r="S318" s="132"/>
      <c r="T318" s="132"/>
      <c r="U318" s="132"/>
      <c r="V318" s="132"/>
      <c r="W318" s="132"/>
      <c r="X318" s="132"/>
      <c r="Y318" s="132"/>
      <c r="Z318" s="132"/>
      <c r="AA318" s="132"/>
      <c r="AB318" s="132"/>
      <c r="AC318" s="132"/>
      <c r="AD318" s="132"/>
      <c r="AE318" s="132"/>
      <c r="AF318" s="132"/>
      <c r="AG318" s="132"/>
      <c r="AH318" s="132"/>
      <c r="AI318" s="132"/>
      <c r="AJ318" s="132"/>
      <c r="AK318" s="132"/>
      <c r="AL318" s="132"/>
      <c r="AM318" s="132"/>
      <c r="AN318" s="132"/>
      <c r="AO318" s="132"/>
      <c r="AP318" s="132"/>
      <c r="AQ318" s="141"/>
      <c r="AR318" s="132"/>
      <c r="AS318" s="132"/>
      <c r="AT318" s="47"/>
      <c r="AU318" s="7"/>
      <c r="AV318" s="134"/>
      <c r="AW318" s="132"/>
      <c r="AX318" s="132"/>
      <c r="AY318" s="132"/>
      <c r="AZ318" s="132"/>
      <c r="BA318" s="10"/>
      <c r="BB318" s="134"/>
      <c r="BC318" s="132"/>
      <c r="BD318" s="132"/>
      <c r="BE318" s="132"/>
      <c r="BF318" s="132"/>
      <c r="BG318" s="11"/>
      <c r="BH318" s="134"/>
      <c r="BI318" s="132"/>
      <c r="BJ318" s="132"/>
      <c r="BK318" s="132"/>
      <c r="BL318" s="132"/>
    </row>
    <row r="319" customFormat="false" ht="13.8" hidden="false" customHeight="false" outlineLevel="0" collapsed="false">
      <c r="A319" s="140"/>
      <c r="B319" s="140"/>
      <c r="C319" s="168"/>
      <c r="D319" s="132"/>
      <c r="E319" s="132"/>
      <c r="F319" s="132"/>
      <c r="G319" s="132"/>
      <c r="H319" s="132"/>
      <c r="I319" s="132"/>
      <c r="J319" s="132"/>
      <c r="K319" s="132"/>
      <c r="L319" s="132"/>
      <c r="M319" s="132"/>
      <c r="N319" s="140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  <c r="AF319" s="132"/>
      <c r="AG319" s="132"/>
      <c r="AH319" s="132"/>
      <c r="AI319" s="132"/>
      <c r="AJ319" s="132"/>
      <c r="AK319" s="132"/>
      <c r="AL319" s="132"/>
      <c r="AM319" s="132"/>
      <c r="AN319" s="132"/>
      <c r="AO319" s="132"/>
      <c r="AP319" s="132"/>
      <c r="AQ319" s="141"/>
      <c r="AR319" s="132"/>
      <c r="AS319" s="132"/>
      <c r="AT319" s="47"/>
      <c r="AU319" s="7"/>
      <c r="AV319" s="134"/>
      <c r="AW319" s="132"/>
      <c r="AX319" s="132"/>
      <c r="AY319" s="132"/>
      <c r="AZ319" s="132"/>
      <c r="BA319" s="10"/>
      <c r="BB319" s="134"/>
      <c r="BC319" s="132"/>
      <c r="BD319" s="132"/>
      <c r="BE319" s="132"/>
      <c r="BF319" s="132"/>
      <c r="BG319" s="11"/>
      <c r="BH319" s="134"/>
      <c r="BI319" s="132"/>
      <c r="BJ319" s="132"/>
      <c r="BK319" s="132"/>
      <c r="BL319" s="132"/>
    </row>
    <row r="320" customFormat="false" ht="13.8" hidden="false" customHeight="false" outlineLevel="0" collapsed="false">
      <c r="A320" s="140"/>
      <c r="B320" s="140"/>
      <c r="C320" s="168"/>
      <c r="D320" s="132"/>
      <c r="E320" s="132"/>
      <c r="F320" s="132"/>
      <c r="G320" s="132"/>
      <c r="H320" s="132"/>
      <c r="I320" s="132"/>
      <c r="J320" s="132"/>
      <c r="K320" s="132"/>
      <c r="L320" s="132"/>
      <c r="M320" s="132"/>
      <c r="N320" s="140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  <c r="AF320" s="132"/>
      <c r="AG320" s="132"/>
      <c r="AH320" s="132"/>
      <c r="AI320" s="132"/>
      <c r="AJ320" s="132"/>
      <c r="AK320" s="132"/>
      <c r="AL320" s="132"/>
      <c r="AM320" s="132"/>
      <c r="AN320" s="132"/>
      <c r="AO320" s="132"/>
      <c r="AP320" s="132"/>
      <c r="AQ320" s="141"/>
      <c r="AR320" s="132"/>
      <c r="AS320" s="132"/>
      <c r="AT320" s="47"/>
      <c r="AU320" s="7"/>
      <c r="AV320" s="134"/>
      <c r="AW320" s="132"/>
      <c r="AX320" s="132"/>
      <c r="AY320" s="132"/>
      <c r="AZ320" s="132"/>
      <c r="BA320" s="10"/>
      <c r="BB320" s="134"/>
      <c r="BC320" s="132"/>
      <c r="BD320" s="132"/>
      <c r="BE320" s="132"/>
      <c r="BF320" s="132"/>
      <c r="BG320" s="11"/>
      <c r="BH320" s="134"/>
      <c r="BI320" s="132"/>
      <c r="BJ320" s="132"/>
      <c r="BK320" s="132"/>
      <c r="BL320" s="132"/>
    </row>
    <row r="321" customFormat="false" ht="13.8" hidden="false" customHeight="false" outlineLevel="0" collapsed="false">
      <c r="A321" s="140"/>
      <c r="B321" s="140"/>
      <c r="C321" s="168"/>
      <c r="D321" s="132"/>
      <c r="E321" s="132"/>
      <c r="F321" s="132"/>
      <c r="G321" s="132"/>
      <c r="H321" s="132"/>
      <c r="I321" s="132"/>
      <c r="J321" s="132"/>
      <c r="K321" s="132"/>
      <c r="L321" s="132"/>
      <c r="M321" s="132"/>
      <c r="N321" s="140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132"/>
      <c r="Z321" s="132"/>
      <c r="AA321" s="132"/>
      <c r="AB321" s="132"/>
      <c r="AC321" s="132"/>
      <c r="AD321" s="132"/>
      <c r="AE321" s="132"/>
      <c r="AF321" s="132"/>
      <c r="AG321" s="132"/>
      <c r="AH321" s="132"/>
      <c r="AI321" s="132"/>
      <c r="AJ321" s="132"/>
      <c r="AK321" s="132"/>
      <c r="AL321" s="132"/>
      <c r="AM321" s="132"/>
      <c r="AN321" s="132"/>
      <c r="AO321" s="132"/>
      <c r="AP321" s="132"/>
      <c r="AQ321" s="141"/>
      <c r="AR321" s="132"/>
      <c r="AS321" s="132"/>
      <c r="AT321" s="47"/>
      <c r="AU321" s="7"/>
      <c r="AV321" s="134"/>
      <c r="AW321" s="132"/>
      <c r="AX321" s="132"/>
      <c r="AY321" s="132"/>
      <c r="AZ321" s="132"/>
      <c r="BA321" s="10"/>
      <c r="BB321" s="134"/>
      <c r="BC321" s="132"/>
      <c r="BD321" s="132"/>
      <c r="BE321" s="132"/>
      <c r="BF321" s="132"/>
      <c r="BG321" s="11"/>
      <c r="BH321" s="134"/>
      <c r="BI321" s="132"/>
      <c r="BJ321" s="132"/>
      <c r="BK321" s="132"/>
      <c r="BL321" s="132"/>
    </row>
    <row r="322" customFormat="false" ht="13.8" hidden="false" customHeight="false" outlineLevel="0" collapsed="false">
      <c r="A322" s="140"/>
      <c r="B322" s="140"/>
      <c r="C322" s="168"/>
      <c r="D322" s="132"/>
      <c r="E322" s="132"/>
      <c r="F322" s="132"/>
      <c r="G322" s="132"/>
      <c r="H322" s="132"/>
      <c r="I322" s="132"/>
      <c r="J322" s="132"/>
      <c r="K322" s="132"/>
      <c r="L322" s="132"/>
      <c r="M322" s="132"/>
      <c r="N322" s="140"/>
      <c r="O322" s="132"/>
      <c r="P322" s="132"/>
      <c r="Q322" s="132"/>
      <c r="R322" s="132"/>
      <c r="S322" s="132"/>
      <c r="T322" s="132"/>
      <c r="U322" s="132"/>
      <c r="V322" s="132"/>
      <c r="W322" s="132"/>
      <c r="X322" s="132"/>
      <c r="Y322" s="132"/>
      <c r="Z322" s="132"/>
      <c r="AA322" s="132"/>
      <c r="AB322" s="132"/>
      <c r="AC322" s="132"/>
      <c r="AD322" s="132"/>
      <c r="AE322" s="132"/>
      <c r="AF322" s="132"/>
      <c r="AG322" s="132"/>
      <c r="AH322" s="132"/>
      <c r="AI322" s="132"/>
      <c r="AJ322" s="132"/>
      <c r="AK322" s="132"/>
      <c r="AL322" s="132"/>
      <c r="AM322" s="132"/>
      <c r="AN322" s="132"/>
      <c r="AO322" s="132"/>
      <c r="AP322" s="132"/>
      <c r="AQ322" s="141"/>
      <c r="AR322" s="132"/>
      <c r="AS322" s="132"/>
      <c r="AT322" s="47"/>
      <c r="AU322" s="7"/>
      <c r="AV322" s="134"/>
      <c r="AW322" s="132"/>
      <c r="AX322" s="132"/>
      <c r="AY322" s="132"/>
      <c r="AZ322" s="132"/>
      <c r="BA322" s="10"/>
      <c r="BB322" s="134"/>
      <c r="BC322" s="132"/>
      <c r="BD322" s="132"/>
      <c r="BE322" s="132"/>
      <c r="BF322" s="132"/>
      <c r="BG322" s="11"/>
      <c r="BH322" s="134"/>
      <c r="BI322" s="132"/>
      <c r="BJ322" s="132"/>
      <c r="BK322" s="132"/>
      <c r="BL322" s="132"/>
    </row>
    <row r="323" customFormat="false" ht="13.8" hidden="false" customHeight="false" outlineLevel="0" collapsed="false">
      <c r="A323" s="140"/>
      <c r="B323" s="140"/>
      <c r="C323" s="168"/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40"/>
      <c r="O323" s="132"/>
      <c r="P323" s="132"/>
      <c r="Q323" s="132"/>
      <c r="R323" s="132"/>
      <c r="S323" s="132"/>
      <c r="T323" s="132"/>
      <c r="U323" s="132"/>
      <c r="V323" s="132"/>
      <c r="W323" s="132"/>
      <c r="X323" s="132"/>
      <c r="Y323" s="132"/>
      <c r="Z323" s="132"/>
      <c r="AA323" s="132"/>
      <c r="AB323" s="132"/>
      <c r="AC323" s="132"/>
      <c r="AD323" s="132"/>
      <c r="AE323" s="132"/>
      <c r="AF323" s="132"/>
      <c r="AG323" s="132"/>
      <c r="AH323" s="132"/>
      <c r="AI323" s="132"/>
      <c r="AJ323" s="132"/>
      <c r="AK323" s="132"/>
      <c r="AL323" s="132"/>
      <c r="AM323" s="132"/>
      <c r="AN323" s="132"/>
      <c r="AO323" s="132"/>
      <c r="AP323" s="132"/>
      <c r="AQ323" s="141"/>
      <c r="AR323" s="132"/>
      <c r="AS323" s="132"/>
      <c r="AT323" s="47"/>
      <c r="AU323" s="7"/>
      <c r="AV323" s="134"/>
      <c r="AW323" s="132"/>
      <c r="AX323" s="132"/>
      <c r="AY323" s="132"/>
      <c r="AZ323" s="132"/>
      <c r="BA323" s="10"/>
      <c r="BB323" s="134"/>
      <c r="BC323" s="132"/>
      <c r="BD323" s="132"/>
      <c r="BE323" s="132"/>
      <c r="BF323" s="132"/>
      <c r="BG323" s="11"/>
      <c r="BH323" s="134"/>
      <c r="BI323" s="132"/>
      <c r="BJ323" s="132"/>
      <c r="BK323" s="132"/>
      <c r="BL323" s="132"/>
    </row>
    <row r="324" customFormat="false" ht="13.8" hidden="false" customHeight="false" outlineLevel="0" collapsed="false">
      <c r="A324" s="140"/>
      <c r="B324" s="140"/>
      <c r="C324" s="168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40"/>
      <c r="O324" s="132"/>
      <c r="P324" s="132"/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  <c r="AA324" s="132"/>
      <c r="AB324" s="132"/>
      <c r="AC324" s="132"/>
      <c r="AD324" s="132"/>
      <c r="AE324" s="132"/>
      <c r="AF324" s="132"/>
      <c r="AG324" s="132"/>
      <c r="AH324" s="132"/>
      <c r="AI324" s="132"/>
      <c r="AJ324" s="132"/>
      <c r="AK324" s="132"/>
      <c r="AL324" s="132"/>
      <c r="AM324" s="132"/>
      <c r="AN324" s="132"/>
      <c r="AO324" s="132"/>
      <c r="AP324" s="132"/>
      <c r="AQ324" s="141"/>
      <c r="AR324" s="132"/>
      <c r="AS324" s="132"/>
      <c r="AT324" s="47"/>
      <c r="AU324" s="7"/>
      <c r="AV324" s="134"/>
      <c r="AW324" s="132"/>
      <c r="AX324" s="132"/>
      <c r="AY324" s="132"/>
      <c r="AZ324" s="132"/>
      <c r="BA324" s="10"/>
      <c r="BB324" s="134"/>
      <c r="BC324" s="132"/>
      <c r="BD324" s="132"/>
      <c r="BE324" s="132"/>
      <c r="BF324" s="132"/>
      <c r="BG324" s="11"/>
      <c r="BH324" s="134"/>
      <c r="BI324" s="132"/>
      <c r="BJ324" s="132"/>
      <c r="BK324" s="132"/>
      <c r="BL324" s="132"/>
    </row>
    <row r="325" customFormat="false" ht="13.8" hidden="false" customHeight="false" outlineLevel="0" collapsed="false">
      <c r="A325" s="140"/>
      <c r="B325" s="140"/>
      <c r="C325" s="168"/>
      <c r="D325" s="132"/>
      <c r="E325" s="132"/>
      <c r="F325" s="132"/>
      <c r="G325" s="132"/>
      <c r="H325" s="132"/>
      <c r="I325" s="132"/>
      <c r="J325" s="132"/>
      <c r="K325" s="132"/>
      <c r="L325" s="132"/>
      <c r="M325" s="132"/>
      <c r="N325" s="140"/>
      <c r="O325" s="132"/>
      <c r="P325" s="132"/>
      <c r="Q325" s="132"/>
      <c r="R325" s="132"/>
      <c r="S325" s="132"/>
      <c r="T325" s="132"/>
      <c r="U325" s="132"/>
      <c r="V325" s="132"/>
      <c r="W325" s="132"/>
      <c r="X325" s="132"/>
      <c r="Y325" s="132"/>
      <c r="Z325" s="132"/>
      <c r="AA325" s="132"/>
      <c r="AB325" s="132"/>
      <c r="AC325" s="132"/>
      <c r="AD325" s="132"/>
      <c r="AE325" s="132"/>
      <c r="AF325" s="132"/>
      <c r="AG325" s="132"/>
      <c r="AH325" s="132"/>
      <c r="AI325" s="132"/>
      <c r="AJ325" s="132"/>
      <c r="AK325" s="132"/>
      <c r="AL325" s="132"/>
      <c r="AM325" s="132"/>
      <c r="AN325" s="132"/>
      <c r="AO325" s="132"/>
      <c r="AP325" s="132"/>
      <c r="AQ325" s="141"/>
      <c r="AR325" s="132"/>
      <c r="AS325" s="132"/>
      <c r="AT325" s="47"/>
      <c r="AU325" s="7"/>
      <c r="AV325" s="134"/>
      <c r="AW325" s="132"/>
      <c r="AX325" s="132"/>
      <c r="AY325" s="132"/>
      <c r="AZ325" s="132"/>
      <c r="BA325" s="10"/>
      <c r="BB325" s="134"/>
      <c r="BC325" s="132"/>
      <c r="BD325" s="132"/>
      <c r="BE325" s="132"/>
      <c r="BF325" s="132"/>
      <c r="BG325" s="11"/>
      <c r="BH325" s="134"/>
      <c r="BI325" s="132"/>
      <c r="BJ325" s="132"/>
      <c r="BK325" s="132"/>
      <c r="BL325" s="132"/>
    </row>
    <row r="326" customFormat="false" ht="13.8" hidden="false" customHeight="false" outlineLevel="0" collapsed="false">
      <c r="A326" s="140"/>
      <c r="B326" s="140"/>
      <c r="C326" s="168"/>
      <c r="D326" s="132"/>
      <c r="E326" s="132"/>
      <c r="F326" s="132"/>
      <c r="G326" s="132"/>
      <c r="H326" s="132"/>
      <c r="I326" s="132"/>
      <c r="J326" s="132"/>
      <c r="K326" s="132"/>
      <c r="L326" s="132"/>
      <c r="M326" s="132"/>
      <c r="N326" s="140"/>
      <c r="O326" s="132"/>
      <c r="P326" s="132"/>
      <c r="Q326" s="132"/>
      <c r="R326" s="132"/>
      <c r="S326" s="132"/>
      <c r="T326" s="132"/>
      <c r="U326" s="132"/>
      <c r="V326" s="132"/>
      <c r="W326" s="132"/>
      <c r="X326" s="132"/>
      <c r="Y326" s="132"/>
      <c r="Z326" s="132"/>
      <c r="AA326" s="132"/>
      <c r="AB326" s="132"/>
      <c r="AC326" s="132"/>
      <c r="AD326" s="132"/>
      <c r="AE326" s="132"/>
      <c r="AF326" s="132"/>
      <c r="AG326" s="132"/>
      <c r="AH326" s="132"/>
      <c r="AI326" s="132"/>
      <c r="AJ326" s="132"/>
      <c r="AK326" s="132"/>
      <c r="AL326" s="132"/>
      <c r="AM326" s="132"/>
      <c r="AN326" s="132"/>
      <c r="AO326" s="132"/>
      <c r="AP326" s="132"/>
      <c r="AQ326" s="141"/>
      <c r="AR326" s="132"/>
      <c r="AS326" s="132"/>
      <c r="AT326" s="47"/>
      <c r="AU326" s="7"/>
      <c r="AV326" s="134"/>
      <c r="AW326" s="132"/>
      <c r="AX326" s="132"/>
      <c r="AY326" s="132"/>
      <c r="AZ326" s="132"/>
      <c r="BA326" s="10"/>
      <c r="BB326" s="134"/>
      <c r="BC326" s="132"/>
      <c r="BD326" s="132"/>
      <c r="BE326" s="132"/>
      <c r="BF326" s="132"/>
      <c r="BG326" s="11"/>
      <c r="BH326" s="134"/>
      <c r="BI326" s="132"/>
      <c r="BJ326" s="132"/>
      <c r="BK326" s="132"/>
      <c r="BL326" s="132"/>
    </row>
    <row r="327" customFormat="false" ht="13.8" hidden="false" customHeight="false" outlineLevel="0" collapsed="false">
      <c r="A327" s="140"/>
      <c r="B327" s="140"/>
      <c r="C327" s="168"/>
      <c r="D327" s="132"/>
      <c r="E327" s="132"/>
      <c r="F327" s="132"/>
      <c r="G327" s="132"/>
      <c r="H327" s="132"/>
      <c r="I327" s="132"/>
      <c r="J327" s="132"/>
      <c r="K327" s="132"/>
      <c r="L327" s="132"/>
      <c r="M327" s="132"/>
      <c r="N327" s="140"/>
      <c r="O327" s="132"/>
      <c r="P327" s="132"/>
      <c r="Q327" s="132"/>
      <c r="R327" s="132"/>
      <c r="S327" s="132"/>
      <c r="T327" s="132"/>
      <c r="U327" s="132"/>
      <c r="V327" s="132"/>
      <c r="W327" s="132"/>
      <c r="X327" s="132"/>
      <c r="Y327" s="132"/>
      <c r="Z327" s="132"/>
      <c r="AA327" s="132"/>
      <c r="AB327" s="132"/>
      <c r="AC327" s="132"/>
      <c r="AD327" s="132"/>
      <c r="AE327" s="132"/>
      <c r="AF327" s="132"/>
      <c r="AG327" s="132"/>
      <c r="AH327" s="132"/>
      <c r="AI327" s="132"/>
      <c r="AJ327" s="132"/>
      <c r="AK327" s="132"/>
      <c r="AL327" s="132"/>
      <c r="AM327" s="132"/>
      <c r="AN327" s="132"/>
      <c r="AO327" s="132"/>
      <c r="AP327" s="132"/>
      <c r="AQ327" s="141"/>
      <c r="AR327" s="132"/>
      <c r="AS327" s="132"/>
      <c r="AT327" s="47"/>
      <c r="AU327" s="7"/>
      <c r="AV327" s="134"/>
      <c r="AW327" s="132"/>
      <c r="AX327" s="132"/>
      <c r="AY327" s="132"/>
      <c r="AZ327" s="132"/>
      <c r="BA327" s="10"/>
      <c r="BB327" s="134"/>
      <c r="BC327" s="132"/>
      <c r="BD327" s="132"/>
      <c r="BE327" s="132"/>
      <c r="BF327" s="132"/>
      <c r="BG327" s="11"/>
      <c r="BH327" s="134"/>
      <c r="BI327" s="132"/>
      <c r="BJ327" s="132"/>
      <c r="BK327" s="132"/>
      <c r="BL327" s="132"/>
    </row>
    <row r="328" customFormat="false" ht="13.8" hidden="false" customHeight="false" outlineLevel="0" collapsed="false">
      <c r="A328" s="140"/>
      <c r="B328" s="140"/>
      <c r="C328" s="168"/>
      <c r="D328" s="132"/>
      <c r="E328" s="132"/>
      <c r="F328" s="132"/>
      <c r="G328" s="132"/>
      <c r="H328" s="132"/>
      <c r="I328" s="132"/>
      <c r="J328" s="132"/>
      <c r="K328" s="132"/>
      <c r="L328" s="132"/>
      <c r="M328" s="132"/>
      <c r="N328" s="140"/>
      <c r="O328" s="132"/>
      <c r="P328" s="132"/>
      <c r="Q328" s="132"/>
      <c r="R328" s="132"/>
      <c r="S328" s="132"/>
      <c r="T328" s="132"/>
      <c r="U328" s="132"/>
      <c r="V328" s="132"/>
      <c r="W328" s="132"/>
      <c r="X328" s="132"/>
      <c r="Y328" s="132"/>
      <c r="Z328" s="132"/>
      <c r="AA328" s="132"/>
      <c r="AB328" s="132"/>
      <c r="AC328" s="132"/>
      <c r="AD328" s="132"/>
      <c r="AE328" s="132"/>
      <c r="AF328" s="132"/>
      <c r="AG328" s="132"/>
      <c r="AH328" s="132"/>
      <c r="AI328" s="132"/>
      <c r="AJ328" s="132"/>
      <c r="AK328" s="132"/>
      <c r="AL328" s="132"/>
      <c r="AM328" s="132"/>
      <c r="AN328" s="132"/>
      <c r="AO328" s="132"/>
      <c r="AP328" s="132"/>
      <c r="AQ328" s="141"/>
      <c r="AR328" s="132"/>
      <c r="AS328" s="132"/>
      <c r="AT328" s="47"/>
      <c r="AU328" s="7"/>
      <c r="AV328" s="134"/>
      <c r="AW328" s="132"/>
      <c r="AX328" s="132"/>
      <c r="AY328" s="132"/>
      <c r="AZ328" s="132"/>
      <c r="BA328" s="10"/>
      <c r="BB328" s="134"/>
      <c r="BC328" s="132"/>
      <c r="BD328" s="132"/>
      <c r="BE328" s="132"/>
      <c r="BF328" s="132"/>
      <c r="BG328" s="11"/>
      <c r="BH328" s="134"/>
      <c r="BI328" s="132"/>
      <c r="BJ328" s="132"/>
      <c r="BK328" s="132"/>
      <c r="BL328" s="132"/>
    </row>
    <row r="329" customFormat="false" ht="13.8" hidden="false" customHeight="false" outlineLevel="0" collapsed="false">
      <c r="A329" s="140"/>
      <c r="B329" s="140"/>
      <c r="C329" s="168"/>
      <c r="D329" s="132"/>
      <c r="E329" s="132"/>
      <c r="F329" s="132"/>
      <c r="G329" s="132"/>
      <c r="H329" s="132"/>
      <c r="I329" s="132"/>
      <c r="J329" s="132"/>
      <c r="K329" s="132"/>
      <c r="L329" s="132"/>
      <c r="M329" s="132"/>
      <c r="N329" s="140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  <c r="AA329" s="132"/>
      <c r="AB329" s="132"/>
      <c r="AC329" s="132"/>
      <c r="AD329" s="132"/>
      <c r="AE329" s="132"/>
      <c r="AF329" s="132"/>
      <c r="AG329" s="132"/>
      <c r="AH329" s="132"/>
      <c r="AI329" s="132"/>
      <c r="AJ329" s="132"/>
      <c r="AK329" s="132"/>
      <c r="AL329" s="132"/>
      <c r="AM329" s="132"/>
      <c r="AN329" s="132"/>
      <c r="AO329" s="132"/>
      <c r="AP329" s="132"/>
      <c r="AQ329" s="141"/>
      <c r="AR329" s="132"/>
      <c r="AS329" s="132"/>
      <c r="AT329" s="47"/>
      <c r="AU329" s="7"/>
      <c r="AV329" s="134"/>
      <c r="AW329" s="132"/>
      <c r="AX329" s="132"/>
      <c r="AY329" s="132"/>
      <c r="AZ329" s="132"/>
      <c r="BA329" s="10"/>
      <c r="BB329" s="134"/>
      <c r="BC329" s="132"/>
      <c r="BD329" s="132"/>
      <c r="BE329" s="132"/>
      <c r="BF329" s="132"/>
      <c r="BG329" s="11"/>
      <c r="BH329" s="134"/>
      <c r="BI329" s="132"/>
      <c r="BJ329" s="132"/>
      <c r="BK329" s="132"/>
      <c r="BL329" s="132"/>
    </row>
    <row r="330" customFormat="false" ht="13.8" hidden="false" customHeight="false" outlineLevel="0" collapsed="false">
      <c r="A330" s="140"/>
      <c r="B330" s="140"/>
      <c r="C330" s="168"/>
      <c r="D330" s="132"/>
      <c r="E330" s="132"/>
      <c r="F330" s="132"/>
      <c r="G330" s="132"/>
      <c r="H330" s="132"/>
      <c r="I330" s="132"/>
      <c r="J330" s="132"/>
      <c r="K330" s="132"/>
      <c r="L330" s="132"/>
      <c r="M330" s="132"/>
      <c r="N330" s="140"/>
      <c r="O330" s="132"/>
      <c r="P330" s="132"/>
      <c r="Q330" s="132"/>
      <c r="R330" s="132"/>
      <c r="S330" s="132"/>
      <c r="T330" s="132"/>
      <c r="U330" s="132"/>
      <c r="V330" s="132"/>
      <c r="W330" s="132"/>
      <c r="X330" s="132"/>
      <c r="Y330" s="132"/>
      <c r="Z330" s="132"/>
      <c r="AA330" s="132"/>
      <c r="AB330" s="132"/>
      <c r="AC330" s="132"/>
      <c r="AD330" s="132"/>
      <c r="AE330" s="132"/>
      <c r="AF330" s="132"/>
      <c r="AG330" s="132"/>
      <c r="AH330" s="132"/>
      <c r="AI330" s="132"/>
      <c r="AJ330" s="132"/>
      <c r="AK330" s="132"/>
      <c r="AL330" s="132"/>
      <c r="AM330" s="132"/>
      <c r="AN330" s="132"/>
      <c r="AO330" s="132"/>
      <c r="AP330" s="132"/>
      <c r="AQ330" s="141"/>
      <c r="AR330" s="132"/>
      <c r="AS330" s="132"/>
      <c r="AT330" s="47"/>
      <c r="AU330" s="7"/>
      <c r="AV330" s="134"/>
      <c r="AW330" s="132"/>
      <c r="AX330" s="132"/>
      <c r="AY330" s="132"/>
      <c r="AZ330" s="132"/>
      <c r="BA330" s="10"/>
      <c r="BB330" s="134"/>
      <c r="BC330" s="132"/>
      <c r="BD330" s="132"/>
      <c r="BE330" s="132"/>
      <c r="BF330" s="132"/>
      <c r="BG330" s="11"/>
      <c r="BH330" s="134"/>
      <c r="BI330" s="132"/>
      <c r="BJ330" s="132"/>
      <c r="BK330" s="132"/>
      <c r="BL330" s="132"/>
    </row>
    <row r="331" customFormat="false" ht="13.8" hidden="false" customHeight="false" outlineLevel="0" collapsed="false">
      <c r="A331" s="140"/>
      <c r="B331" s="140"/>
      <c r="C331" s="168"/>
      <c r="D331" s="132"/>
      <c r="E331" s="132"/>
      <c r="F331" s="132"/>
      <c r="G331" s="132"/>
      <c r="H331" s="132"/>
      <c r="I331" s="132"/>
      <c r="J331" s="132"/>
      <c r="K331" s="132"/>
      <c r="L331" s="132"/>
      <c r="M331" s="132"/>
      <c r="N331" s="140"/>
      <c r="O331" s="132"/>
      <c r="P331" s="132"/>
      <c r="Q331" s="132"/>
      <c r="R331" s="132"/>
      <c r="S331" s="132"/>
      <c r="T331" s="132"/>
      <c r="U331" s="132"/>
      <c r="V331" s="132"/>
      <c r="W331" s="132"/>
      <c r="X331" s="132"/>
      <c r="Y331" s="132"/>
      <c r="Z331" s="132"/>
      <c r="AA331" s="132"/>
      <c r="AB331" s="132"/>
      <c r="AC331" s="132"/>
      <c r="AD331" s="132"/>
      <c r="AE331" s="132"/>
      <c r="AF331" s="132"/>
      <c r="AG331" s="132"/>
      <c r="AH331" s="132"/>
      <c r="AI331" s="132"/>
      <c r="AJ331" s="132"/>
      <c r="AK331" s="132"/>
      <c r="AL331" s="132"/>
      <c r="AM331" s="132"/>
      <c r="AN331" s="132"/>
      <c r="AO331" s="132"/>
      <c r="AP331" s="132"/>
      <c r="AQ331" s="141"/>
      <c r="AR331" s="132"/>
      <c r="AS331" s="132"/>
      <c r="AT331" s="47"/>
      <c r="AU331" s="7"/>
      <c r="AV331" s="134"/>
      <c r="AW331" s="132"/>
      <c r="AX331" s="132"/>
      <c r="AY331" s="132"/>
      <c r="AZ331" s="132"/>
      <c r="BA331" s="10"/>
      <c r="BB331" s="134"/>
      <c r="BC331" s="132"/>
      <c r="BD331" s="132"/>
      <c r="BE331" s="132"/>
      <c r="BF331" s="132"/>
      <c r="BG331" s="11"/>
      <c r="BH331" s="134"/>
      <c r="BI331" s="132"/>
      <c r="BJ331" s="132"/>
      <c r="BK331" s="132"/>
      <c r="BL331" s="132"/>
    </row>
    <row r="332" customFormat="false" ht="13.8" hidden="false" customHeight="false" outlineLevel="0" collapsed="false">
      <c r="A332" s="140"/>
      <c r="B332" s="140"/>
      <c r="C332" s="168"/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40"/>
      <c r="O332" s="132"/>
      <c r="P332" s="132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  <c r="AA332" s="132"/>
      <c r="AB332" s="132"/>
      <c r="AC332" s="132"/>
      <c r="AD332" s="132"/>
      <c r="AE332" s="132"/>
      <c r="AF332" s="132"/>
      <c r="AG332" s="132"/>
      <c r="AH332" s="132"/>
      <c r="AI332" s="132"/>
      <c r="AJ332" s="132"/>
      <c r="AK332" s="132"/>
      <c r="AL332" s="132"/>
      <c r="AM332" s="132"/>
      <c r="AN332" s="132"/>
      <c r="AO332" s="132"/>
      <c r="AP332" s="132"/>
      <c r="AQ332" s="141"/>
      <c r="AR332" s="132"/>
      <c r="AS332" s="132"/>
      <c r="AT332" s="47"/>
      <c r="AU332" s="7"/>
      <c r="AV332" s="134"/>
      <c r="AW332" s="132"/>
      <c r="AX332" s="132"/>
      <c r="AY332" s="132"/>
      <c r="AZ332" s="132"/>
      <c r="BA332" s="10"/>
      <c r="BB332" s="134"/>
      <c r="BC332" s="132"/>
      <c r="BD332" s="132"/>
      <c r="BE332" s="132"/>
      <c r="BF332" s="132"/>
      <c r="BG332" s="11"/>
      <c r="BH332" s="134"/>
      <c r="BI332" s="132"/>
      <c r="BJ332" s="132"/>
      <c r="BK332" s="132"/>
      <c r="BL332" s="132"/>
    </row>
    <row r="333" customFormat="false" ht="13.8" hidden="false" customHeight="false" outlineLevel="0" collapsed="false">
      <c r="A333" s="140"/>
      <c r="B333" s="140"/>
      <c r="C333" s="168"/>
      <c r="D333" s="132"/>
      <c r="E333" s="132"/>
      <c r="F333" s="132"/>
      <c r="G333" s="132"/>
      <c r="H333" s="132"/>
      <c r="I333" s="132"/>
      <c r="J333" s="132"/>
      <c r="K333" s="132"/>
      <c r="L333" s="132"/>
      <c r="M333" s="132"/>
      <c r="N333" s="140"/>
      <c r="O333" s="132"/>
      <c r="P333" s="132"/>
      <c r="Q333" s="132"/>
      <c r="R333" s="132"/>
      <c r="S333" s="132"/>
      <c r="T333" s="132"/>
      <c r="U333" s="132"/>
      <c r="V333" s="132"/>
      <c r="W333" s="132"/>
      <c r="X333" s="132"/>
      <c r="Y333" s="132"/>
      <c r="Z333" s="132"/>
      <c r="AA333" s="132"/>
      <c r="AB333" s="132"/>
      <c r="AC333" s="132"/>
      <c r="AD333" s="132"/>
      <c r="AE333" s="132"/>
      <c r="AF333" s="132"/>
      <c r="AG333" s="132"/>
      <c r="AH333" s="132"/>
      <c r="AI333" s="132"/>
      <c r="AJ333" s="132"/>
      <c r="AK333" s="132"/>
      <c r="AL333" s="132"/>
      <c r="AM333" s="132"/>
      <c r="AN333" s="132"/>
      <c r="AO333" s="132"/>
      <c r="AP333" s="132"/>
      <c r="AQ333" s="141"/>
      <c r="AR333" s="132"/>
      <c r="AS333" s="132"/>
      <c r="AT333" s="47"/>
      <c r="AU333" s="7"/>
      <c r="AV333" s="134"/>
      <c r="AW333" s="132"/>
      <c r="AX333" s="132"/>
      <c r="AY333" s="132"/>
      <c r="AZ333" s="132"/>
      <c r="BA333" s="10"/>
      <c r="BB333" s="134"/>
      <c r="BC333" s="132"/>
      <c r="BD333" s="132"/>
      <c r="BE333" s="132"/>
      <c r="BF333" s="132"/>
      <c r="BG333" s="11"/>
      <c r="BH333" s="134"/>
      <c r="BI333" s="132"/>
      <c r="BJ333" s="132"/>
      <c r="BK333" s="132"/>
      <c r="BL333" s="132"/>
    </row>
    <row r="334" customFormat="false" ht="13.8" hidden="false" customHeight="false" outlineLevel="0" collapsed="false">
      <c r="A334" s="140"/>
      <c r="B334" s="140"/>
      <c r="C334" s="168"/>
      <c r="D334" s="132"/>
      <c r="E334" s="132"/>
      <c r="F334" s="132"/>
      <c r="G334" s="132"/>
      <c r="H334" s="132"/>
      <c r="I334" s="132"/>
      <c r="J334" s="132"/>
      <c r="K334" s="132"/>
      <c r="L334" s="132"/>
      <c r="M334" s="132"/>
      <c r="N334" s="140"/>
      <c r="O334" s="132"/>
      <c r="P334" s="132"/>
      <c r="Q334" s="132"/>
      <c r="R334" s="132"/>
      <c r="S334" s="132"/>
      <c r="T334" s="132"/>
      <c r="U334" s="132"/>
      <c r="V334" s="132"/>
      <c r="W334" s="132"/>
      <c r="X334" s="132"/>
      <c r="Y334" s="132"/>
      <c r="Z334" s="132"/>
      <c r="AA334" s="132"/>
      <c r="AB334" s="132"/>
      <c r="AC334" s="132"/>
      <c r="AD334" s="132"/>
      <c r="AE334" s="132"/>
      <c r="AF334" s="132"/>
      <c r="AG334" s="132"/>
      <c r="AH334" s="132"/>
      <c r="AI334" s="132"/>
      <c r="AJ334" s="132"/>
      <c r="AK334" s="132"/>
      <c r="AL334" s="132"/>
      <c r="AM334" s="132"/>
      <c r="AN334" s="132"/>
      <c r="AO334" s="132"/>
      <c r="AP334" s="132"/>
      <c r="AQ334" s="141"/>
      <c r="AR334" s="132"/>
      <c r="AS334" s="132"/>
      <c r="AT334" s="47"/>
      <c r="AU334" s="7"/>
      <c r="AV334" s="134"/>
      <c r="AW334" s="132"/>
      <c r="AX334" s="132"/>
      <c r="AY334" s="132"/>
      <c r="AZ334" s="132"/>
      <c r="BA334" s="10"/>
      <c r="BB334" s="134"/>
      <c r="BC334" s="132"/>
      <c r="BD334" s="132"/>
      <c r="BE334" s="132"/>
      <c r="BF334" s="132"/>
      <c r="BG334" s="11"/>
      <c r="BH334" s="134"/>
      <c r="BI334" s="132"/>
      <c r="BJ334" s="132"/>
      <c r="BK334" s="132"/>
      <c r="BL334" s="132"/>
    </row>
    <row r="335" customFormat="false" ht="13.8" hidden="false" customHeight="false" outlineLevel="0" collapsed="false">
      <c r="A335" s="140"/>
      <c r="B335" s="140"/>
      <c r="C335" s="168"/>
      <c r="D335" s="132"/>
      <c r="E335" s="132"/>
      <c r="F335" s="132"/>
      <c r="G335" s="132"/>
      <c r="H335" s="132"/>
      <c r="I335" s="132"/>
      <c r="J335" s="132"/>
      <c r="K335" s="132"/>
      <c r="L335" s="132"/>
      <c r="M335" s="132"/>
      <c r="N335" s="140"/>
      <c r="O335" s="132"/>
      <c r="P335" s="132"/>
      <c r="Q335" s="132"/>
      <c r="R335" s="132"/>
      <c r="S335" s="132"/>
      <c r="T335" s="132"/>
      <c r="U335" s="132"/>
      <c r="V335" s="132"/>
      <c r="W335" s="132"/>
      <c r="X335" s="132"/>
      <c r="Y335" s="132"/>
      <c r="Z335" s="132"/>
      <c r="AA335" s="132"/>
      <c r="AB335" s="132"/>
      <c r="AC335" s="132"/>
      <c r="AD335" s="132"/>
      <c r="AE335" s="132"/>
      <c r="AF335" s="132"/>
      <c r="AG335" s="132"/>
      <c r="AH335" s="132"/>
      <c r="AI335" s="132"/>
      <c r="AJ335" s="132"/>
      <c r="AK335" s="132"/>
      <c r="AL335" s="132"/>
      <c r="AM335" s="132"/>
      <c r="AN335" s="132"/>
      <c r="AO335" s="132"/>
      <c r="AP335" s="132"/>
      <c r="AQ335" s="141"/>
      <c r="AR335" s="132"/>
      <c r="AS335" s="132"/>
      <c r="AT335" s="47"/>
      <c r="AU335" s="7"/>
      <c r="AV335" s="134"/>
      <c r="AW335" s="132"/>
      <c r="AX335" s="132"/>
      <c r="AY335" s="132"/>
      <c r="AZ335" s="132"/>
      <c r="BA335" s="10"/>
      <c r="BB335" s="134"/>
      <c r="BC335" s="132"/>
      <c r="BD335" s="132"/>
      <c r="BE335" s="132"/>
      <c r="BF335" s="132"/>
      <c r="BG335" s="11"/>
      <c r="BH335" s="134"/>
      <c r="BI335" s="132"/>
      <c r="BJ335" s="132"/>
      <c r="BK335" s="132"/>
      <c r="BL335" s="132"/>
    </row>
    <row r="336" customFormat="false" ht="13.8" hidden="false" customHeight="false" outlineLevel="0" collapsed="false">
      <c r="A336" s="140"/>
      <c r="B336" s="140"/>
      <c r="C336" s="168"/>
      <c r="D336" s="132"/>
      <c r="E336" s="132"/>
      <c r="F336" s="132"/>
      <c r="G336" s="132"/>
      <c r="H336" s="132"/>
      <c r="I336" s="132"/>
      <c r="J336" s="132"/>
      <c r="K336" s="132"/>
      <c r="L336" s="132"/>
      <c r="M336" s="132"/>
      <c r="N336" s="140"/>
      <c r="O336" s="132"/>
      <c r="P336" s="132"/>
      <c r="Q336" s="132"/>
      <c r="R336" s="132"/>
      <c r="S336" s="132"/>
      <c r="T336" s="132"/>
      <c r="U336" s="132"/>
      <c r="V336" s="132"/>
      <c r="W336" s="132"/>
      <c r="X336" s="132"/>
      <c r="Y336" s="132"/>
      <c r="Z336" s="132"/>
      <c r="AA336" s="132"/>
      <c r="AB336" s="132"/>
      <c r="AC336" s="132"/>
      <c r="AD336" s="132"/>
      <c r="AE336" s="132"/>
      <c r="AF336" s="132"/>
      <c r="AG336" s="132"/>
      <c r="AH336" s="132"/>
      <c r="AI336" s="132"/>
      <c r="AJ336" s="132"/>
      <c r="AK336" s="132"/>
      <c r="AL336" s="132"/>
      <c r="AM336" s="132"/>
      <c r="AN336" s="132"/>
      <c r="AO336" s="132"/>
      <c r="AP336" s="132"/>
      <c r="AQ336" s="141"/>
      <c r="AR336" s="132"/>
      <c r="AS336" s="132"/>
      <c r="AT336" s="47"/>
      <c r="AU336" s="7"/>
      <c r="AV336" s="134"/>
      <c r="AW336" s="132"/>
      <c r="AX336" s="132"/>
      <c r="AY336" s="132"/>
      <c r="AZ336" s="132"/>
      <c r="BA336" s="10"/>
      <c r="BB336" s="134"/>
      <c r="BC336" s="132"/>
      <c r="BD336" s="132"/>
      <c r="BE336" s="132"/>
      <c r="BF336" s="132"/>
      <c r="BG336" s="11"/>
      <c r="BH336" s="134"/>
      <c r="BI336" s="132"/>
      <c r="BJ336" s="132"/>
      <c r="BK336" s="132"/>
      <c r="BL336" s="132"/>
    </row>
    <row r="337" customFormat="false" ht="13.8" hidden="false" customHeight="false" outlineLevel="0" collapsed="false">
      <c r="A337" s="140"/>
      <c r="B337" s="140"/>
      <c r="C337" s="168"/>
      <c r="D337" s="132"/>
      <c r="E337" s="132"/>
      <c r="F337" s="132"/>
      <c r="G337" s="132"/>
      <c r="H337" s="132"/>
      <c r="I337" s="132"/>
      <c r="J337" s="132"/>
      <c r="K337" s="132"/>
      <c r="L337" s="132"/>
      <c r="M337" s="132"/>
      <c r="N337" s="140"/>
      <c r="O337" s="132"/>
      <c r="P337" s="132"/>
      <c r="Q337" s="132"/>
      <c r="R337" s="132"/>
      <c r="S337" s="132"/>
      <c r="T337" s="132"/>
      <c r="U337" s="132"/>
      <c r="V337" s="132"/>
      <c r="W337" s="132"/>
      <c r="X337" s="132"/>
      <c r="Y337" s="132"/>
      <c r="Z337" s="132"/>
      <c r="AA337" s="132"/>
      <c r="AB337" s="132"/>
      <c r="AC337" s="132"/>
      <c r="AD337" s="132"/>
      <c r="AE337" s="132"/>
      <c r="AF337" s="132"/>
      <c r="AG337" s="132"/>
      <c r="AH337" s="132"/>
      <c r="AI337" s="132"/>
      <c r="AJ337" s="132"/>
      <c r="AK337" s="132"/>
      <c r="AL337" s="132"/>
      <c r="AM337" s="132"/>
      <c r="AN337" s="132"/>
      <c r="AO337" s="132"/>
      <c r="AP337" s="132"/>
      <c r="AQ337" s="141"/>
      <c r="AR337" s="132"/>
      <c r="AS337" s="132"/>
      <c r="AT337" s="47"/>
      <c r="AU337" s="7"/>
      <c r="AV337" s="134"/>
      <c r="AW337" s="132"/>
      <c r="AX337" s="132"/>
      <c r="AY337" s="132"/>
      <c r="AZ337" s="132"/>
      <c r="BA337" s="10"/>
      <c r="BB337" s="134"/>
      <c r="BC337" s="132"/>
      <c r="BD337" s="132"/>
      <c r="BE337" s="132"/>
      <c r="BF337" s="132"/>
      <c r="BG337" s="11"/>
      <c r="BH337" s="134"/>
      <c r="BI337" s="132"/>
      <c r="BJ337" s="132"/>
      <c r="BK337" s="132"/>
      <c r="BL337" s="132"/>
    </row>
    <row r="338" customFormat="false" ht="13.8" hidden="false" customHeight="false" outlineLevel="0" collapsed="false">
      <c r="A338" s="140"/>
      <c r="B338" s="140"/>
      <c r="C338" s="168"/>
      <c r="D338" s="132"/>
      <c r="E338" s="132"/>
      <c r="F338" s="132"/>
      <c r="G338" s="132"/>
      <c r="H338" s="132"/>
      <c r="I338" s="132"/>
      <c r="J338" s="132"/>
      <c r="K338" s="132"/>
      <c r="L338" s="132"/>
      <c r="M338" s="132"/>
      <c r="N338" s="140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  <c r="AA338" s="132"/>
      <c r="AB338" s="132"/>
      <c r="AC338" s="132"/>
      <c r="AD338" s="132"/>
      <c r="AE338" s="132"/>
      <c r="AF338" s="132"/>
      <c r="AG338" s="132"/>
      <c r="AH338" s="132"/>
      <c r="AI338" s="132"/>
      <c r="AJ338" s="132"/>
      <c r="AK338" s="132"/>
      <c r="AL338" s="132"/>
      <c r="AM338" s="132"/>
      <c r="AN338" s="132"/>
      <c r="AO338" s="132"/>
      <c r="AP338" s="132"/>
      <c r="AQ338" s="141"/>
      <c r="AR338" s="132"/>
      <c r="AS338" s="132"/>
      <c r="AT338" s="47"/>
      <c r="AU338" s="7"/>
      <c r="AV338" s="134"/>
      <c r="AW338" s="132"/>
      <c r="AX338" s="132"/>
      <c r="AY338" s="132"/>
      <c r="AZ338" s="132"/>
      <c r="BA338" s="10"/>
      <c r="BB338" s="134"/>
      <c r="BC338" s="132"/>
      <c r="BD338" s="132"/>
      <c r="BE338" s="132"/>
      <c r="BF338" s="132"/>
      <c r="BG338" s="11"/>
      <c r="BH338" s="134"/>
      <c r="BI338" s="132"/>
      <c r="BJ338" s="132"/>
      <c r="BK338" s="132"/>
      <c r="BL338" s="132"/>
    </row>
    <row r="339" customFormat="false" ht="13.8" hidden="false" customHeight="false" outlineLevel="0" collapsed="false">
      <c r="A339" s="140"/>
      <c r="B339" s="140"/>
      <c r="C339" s="168"/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40"/>
      <c r="O339" s="132"/>
      <c r="P339" s="132"/>
      <c r="Q339" s="132"/>
      <c r="R339" s="132"/>
      <c r="S339" s="132"/>
      <c r="T339" s="132"/>
      <c r="U339" s="132"/>
      <c r="V339" s="132"/>
      <c r="W339" s="132"/>
      <c r="X339" s="132"/>
      <c r="Y339" s="132"/>
      <c r="Z339" s="132"/>
      <c r="AA339" s="132"/>
      <c r="AB339" s="132"/>
      <c r="AC339" s="132"/>
      <c r="AD339" s="132"/>
      <c r="AE339" s="132"/>
      <c r="AF339" s="132"/>
      <c r="AG339" s="132"/>
      <c r="AH339" s="132"/>
      <c r="AI339" s="132"/>
      <c r="AJ339" s="132"/>
      <c r="AK339" s="132"/>
      <c r="AL339" s="132"/>
      <c r="AM339" s="132"/>
      <c r="AN339" s="132"/>
      <c r="AO339" s="132"/>
      <c r="AP339" s="132"/>
      <c r="AQ339" s="141"/>
      <c r="AR339" s="132"/>
      <c r="AS339" s="132"/>
      <c r="AT339" s="47"/>
      <c r="AU339" s="7"/>
      <c r="AV339" s="134"/>
      <c r="AW339" s="132"/>
      <c r="AX339" s="132"/>
      <c r="AY339" s="132"/>
      <c r="AZ339" s="132"/>
      <c r="BA339" s="10"/>
      <c r="BB339" s="134"/>
      <c r="BC339" s="132"/>
      <c r="BD339" s="132"/>
      <c r="BE339" s="132"/>
      <c r="BF339" s="132"/>
      <c r="BG339" s="11"/>
      <c r="BH339" s="134"/>
      <c r="BI339" s="132"/>
      <c r="BJ339" s="132"/>
      <c r="BK339" s="132"/>
      <c r="BL339" s="132"/>
    </row>
    <row r="340" customFormat="false" ht="13.8" hidden="false" customHeight="false" outlineLevel="0" collapsed="false">
      <c r="A340" s="140"/>
      <c r="B340" s="140"/>
      <c r="C340" s="168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  <c r="N340" s="140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  <c r="AA340" s="132"/>
      <c r="AB340" s="132"/>
      <c r="AC340" s="132"/>
      <c r="AD340" s="132"/>
      <c r="AE340" s="132"/>
      <c r="AF340" s="132"/>
      <c r="AG340" s="132"/>
      <c r="AH340" s="132"/>
      <c r="AI340" s="132"/>
      <c r="AJ340" s="132"/>
      <c r="AK340" s="132"/>
      <c r="AL340" s="132"/>
      <c r="AM340" s="132"/>
      <c r="AN340" s="132"/>
      <c r="AO340" s="132"/>
      <c r="AP340" s="132"/>
      <c r="AQ340" s="141"/>
      <c r="AR340" s="132"/>
      <c r="AS340" s="132"/>
      <c r="AT340" s="47"/>
      <c r="AU340" s="7"/>
      <c r="AV340" s="134"/>
      <c r="AW340" s="132"/>
      <c r="AX340" s="132"/>
      <c r="AY340" s="132"/>
      <c r="AZ340" s="132"/>
      <c r="BA340" s="10"/>
      <c r="BB340" s="134"/>
      <c r="BC340" s="132"/>
      <c r="BD340" s="132"/>
      <c r="BE340" s="132"/>
      <c r="BF340" s="132"/>
      <c r="BG340" s="11"/>
      <c r="BH340" s="134"/>
      <c r="BI340" s="132"/>
      <c r="BJ340" s="132"/>
      <c r="BK340" s="132"/>
      <c r="BL340" s="132"/>
    </row>
    <row r="341" customFormat="false" ht="13.8" hidden="false" customHeight="false" outlineLevel="0" collapsed="false">
      <c r="A341" s="140"/>
      <c r="B341" s="140"/>
      <c r="C341" s="168"/>
      <c r="D341" s="132"/>
      <c r="E341" s="132"/>
      <c r="F341" s="132"/>
      <c r="G341" s="132"/>
      <c r="H341" s="132"/>
      <c r="I341" s="132"/>
      <c r="J341" s="132"/>
      <c r="K341" s="132"/>
      <c r="L341" s="132"/>
      <c r="M341" s="132"/>
      <c r="N341" s="140"/>
      <c r="O341" s="132"/>
      <c r="P341" s="132"/>
      <c r="Q341" s="132"/>
      <c r="R341" s="132"/>
      <c r="S341" s="132"/>
      <c r="T341" s="132"/>
      <c r="U341" s="132"/>
      <c r="V341" s="132"/>
      <c r="W341" s="132"/>
      <c r="X341" s="132"/>
      <c r="Y341" s="132"/>
      <c r="Z341" s="132"/>
      <c r="AA341" s="132"/>
      <c r="AB341" s="132"/>
      <c r="AC341" s="132"/>
      <c r="AD341" s="132"/>
      <c r="AE341" s="132"/>
      <c r="AF341" s="132"/>
      <c r="AG341" s="132"/>
      <c r="AH341" s="132"/>
      <c r="AI341" s="132"/>
      <c r="AJ341" s="132"/>
      <c r="AK341" s="132"/>
      <c r="AL341" s="132"/>
      <c r="AM341" s="132"/>
      <c r="AN341" s="132"/>
      <c r="AO341" s="132"/>
      <c r="AP341" s="132"/>
      <c r="AQ341" s="141"/>
      <c r="AR341" s="132"/>
      <c r="AS341" s="132"/>
      <c r="AT341" s="47"/>
      <c r="AU341" s="7"/>
      <c r="AV341" s="134"/>
      <c r="AW341" s="132"/>
      <c r="AX341" s="132"/>
      <c r="AY341" s="132"/>
      <c r="AZ341" s="132"/>
      <c r="BA341" s="10"/>
      <c r="BB341" s="134"/>
      <c r="BC341" s="132"/>
      <c r="BD341" s="132"/>
      <c r="BE341" s="132"/>
      <c r="BF341" s="132"/>
      <c r="BG341" s="11"/>
      <c r="BH341" s="134"/>
      <c r="BI341" s="132"/>
      <c r="BJ341" s="132"/>
      <c r="BK341" s="132"/>
      <c r="BL341" s="132"/>
    </row>
    <row r="342" customFormat="false" ht="13.8" hidden="false" customHeight="false" outlineLevel="0" collapsed="false">
      <c r="A342" s="140"/>
      <c r="B342" s="140"/>
      <c r="C342" s="168"/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  <c r="N342" s="140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  <c r="AA342" s="132"/>
      <c r="AB342" s="132"/>
      <c r="AC342" s="132"/>
      <c r="AD342" s="132"/>
      <c r="AE342" s="132"/>
      <c r="AF342" s="132"/>
      <c r="AG342" s="132"/>
      <c r="AH342" s="132"/>
      <c r="AI342" s="132"/>
      <c r="AJ342" s="132"/>
      <c r="AK342" s="132"/>
      <c r="AL342" s="132"/>
      <c r="AM342" s="132"/>
      <c r="AN342" s="132"/>
      <c r="AO342" s="132"/>
      <c r="AP342" s="132"/>
      <c r="AQ342" s="141"/>
      <c r="AR342" s="132"/>
      <c r="AS342" s="132"/>
      <c r="AT342" s="47"/>
      <c r="AU342" s="7"/>
      <c r="AV342" s="134"/>
      <c r="AW342" s="132"/>
      <c r="AX342" s="132"/>
      <c r="AY342" s="132"/>
      <c r="AZ342" s="132"/>
      <c r="BA342" s="10"/>
      <c r="BB342" s="134"/>
      <c r="BC342" s="132"/>
      <c r="BD342" s="132"/>
      <c r="BE342" s="132"/>
      <c r="BF342" s="132"/>
      <c r="BG342" s="11"/>
      <c r="BH342" s="134"/>
      <c r="BI342" s="132"/>
      <c r="BJ342" s="132"/>
      <c r="BK342" s="132"/>
      <c r="BL342" s="132"/>
    </row>
    <row r="343" customFormat="false" ht="13.8" hidden="false" customHeight="false" outlineLevel="0" collapsed="false">
      <c r="A343" s="140"/>
      <c r="B343" s="140"/>
      <c r="C343" s="168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40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  <c r="AA343" s="132"/>
      <c r="AB343" s="132"/>
      <c r="AC343" s="132"/>
      <c r="AD343" s="132"/>
      <c r="AE343" s="132"/>
      <c r="AF343" s="132"/>
      <c r="AG343" s="132"/>
      <c r="AH343" s="132"/>
      <c r="AI343" s="132"/>
      <c r="AJ343" s="132"/>
      <c r="AK343" s="132"/>
      <c r="AL343" s="132"/>
      <c r="AM343" s="132"/>
      <c r="AN343" s="132"/>
      <c r="AO343" s="132"/>
      <c r="AP343" s="132"/>
      <c r="AQ343" s="141"/>
      <c r="AR343" s="132"/>
      <c r="AS343" s="132"/>
      <c r="AT343" s="47"/>
      <c r="AU343" s="7"/>
      <c r="AV343" s="134"/>
      <c r="AW343" s="132"/>
      <c r="AX343" s="132"/>
      <c r="AY343" s="132"/>
      <c r="AZ343" s="132"/>
      <c r="BA343" s="10"/>
      <c r="BB343" s="134"/>
      <c r="BC343" s="132"/>
      <c r="BD343" s="132"/>
      <c r="BE343" s="132"/>
      <c r="BF343" s="132"/>
      <c r="BG343" s="11"/>
      <c r="BH343" s="134"/>
      <c r="BI343" s="132"/>
      <c r="BJ343" s="132"/>
      <c r="BK343" s="132"/>
      <c r="BL343" s="132"/>
    </row>
    <row r="344" customFormat="false" ht="13.8" hidden="false" customHeight="false" outlineLevel="0" collapsed="false">
      <c r="A344" s="140"/>
      <c r="B344" s="140"/>
      <c r="C344" s="168"/>
      <c r="D344" s="132"/>
      <c r="E344" s="132"/>
      <c r="F344" s="132"/>
      <c r="G344" s="132"/>
      <c r="H344" s="132"/>
      <c r="I344" s="132"/>
      <c r="J344" s="132"/>
      <c r="K344" s="132"/>
      <c r="L344" s="132"/>
      <c r="M344" s="132"/>
      <c r="N344" s="140"/>
      <c r="O344" s="132"/>
      <c r="P344" s="132"/>
      <c r="Q344" s="132"/>
      <c r="R344" s="132"/>
      <c r="S344" s="132"/>
      <c r="T344" s="132"/>
      <c r="U344" s="132"/>
      <c r="V344" s="132"/>
      <c r="W344" s="132"/>
      <c r="X344" s="132"/>
      <c r="Y344" s="132"/>
      <c r="Z344" s="132"/>
      <c r="AA344" s="132"/>
      <c r="AB344" s="132"/>
      <c r="AC344" s="132"/>
      <c r="AD344" s="132"/>
      <c r="AE344" s="132"/>
      <c r="AF344" s="132"/>
      <c r="AG344" s="132"/>
      <c r="AH344" s="132"/>
      <c r="AI344" s="132"/>
      <c r="AJ344" s="132"/>
      <c r="AK344" s="132"/>
      <c r="AL344" s="132"/>
      <c r="AM344" s="132"/>
      <c r="AN344" s="132"/>
      <c r="AO344" s="132"/>
      <c r="AP344" s="132"/>
      <c r="AQ344" s="141"/>
      <c r="AR344" s="132"/>
      <c r="AS344" s="132"/>
      <c r="AT344" s="47"/>
      <c r="AU344" s="7"/>
      <c r="AV344" s="134"/>
      <c r="AW344" s="132"/>
      <c r="AX344" s="132"/>
      <c r="AY344" s="132"/>
      <c r="AZ344" s="132"/>
      <c r="BA344" s="10"/>
      <c r="BB344" s="134"/>
      <c r="BC344" s="132"/>
      <c r="BD344" s="132"/>
      <c r="BE344" s="132"/>
      <c r="BF344" s="132"/>
      <c r="BG344" s="11"/>
      <c r="BH344" s="134"/>
      <c r="BI344" s="132"/>
      <c r="BJ344" s="132"/>
      <c r="BK344" s="132"/>
      <c r="BL344" s="132"/>
    </row>
    <row r="345" customFormat="false" ht="13.8" hidden="false" customHeight="false" outlineLevel="0" collapsed="false">
      <c r="A345" s="140"/>
      <c r="B345" s="140"/>
      <c r="C345" s="168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40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132"/>
      <c r="Z345" s="132"/>
      <c r="AA345" s="132"/>
      <c r="AB345" s="132"/>
      <c r="AC345" s="132"/>
      <c r="AD345" s="132"/>
      <c r="AE345" s="132"/>
      <c r="AF345" s="132"/>
      <c r="AG345" s="132"/>
      <c r="AH345" s="132"/>
      <c r="AI345" s="132"/>
      <c r="AJ345" s="132"/>
      <c r="AK345" s="132"/>
      <c r="AL345" s="132"/>
      <c r="AM345" s="132"/>
      <c r="AN345" s="132"/>
      <c r="AO345" s="132"/>
      <c r="AP345" s="132"/>
      <c r="AQ345" s="141"/>
      <c r="AR345" s="132"/>
      <c r="AS345" s="132"/>
      <c r="AT345" s="47"/>
      <c r="AU345" s="7"/>
      <c r="AV345" s="134"/>
      <c r="AW345" s="132"/>
      <c r="AX345" s="132"/>
      <c r="AY345" s="132"/>
      <c r="AZ345" s="132"/>
      <c r="BA345" s="10"/>
      <c r="BB345" s="134"/>
      <c r="BC345" s="132"/>
      <c r="BD345" s="132"/>
      <c r="BE345" s="132"/>
      <c r="BF345" s="132"/>
      <c r="BG345" s="11"/>
      <c r="BH345" s="134"/>
      <c r="BI345" s="132"/>
      <c r="BJ345" s="132"/>
      <c r="BK345" s="132"/>
      <c r="BL345" s="132"/>
    </row>
    <row r="346" customFormat="false" ht="13.8" hidden="false" customHeight="false" outlineLevel="0" collapsed="false">
      <c r="A346" s="140"/>
      <c r="B346" s="140"/>
      <c r="C346" s="168"/>
      <c r="D346" s="132"/>
      <c r="E346" s="132"/>
      <c r="F346" s="132"/>
      <c r="G346" s="132"/>
      <c r="H346" s="132"/>
      <c r="I346" s="132"/>
      <c r="J346" s="132"/>
      <c r="K346" s="132"/>
      <c r="L346" s="132"/>
      <c r="M346" s="132"/>
      <c r="N346" s="140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  <c r="AA346" s="132"/>
      <c r="AB346" s="132"/>
      <c r="AC346" s="132"/>
      <c r="AD346" s="132"/>
      <c r="AE346" s="132"/>
      <c r="AF346" s="132"/>
      <c r="AG346" s="132"/>
      <c r="AH346" s="132"/>
      <c r="AI346" s="132"/>
      <c r="AJ346" s="132"/>
      <c r="AK346" s="132"/>
      <c r="AL346" s="132"/>
      <c r="AM346" s="132"/>
      <c r="AN346" s="132"/>
      <c r="AO346" s="132"/>
      <c r="AP346" s="132"/>
      <c r="AQ346" s="141"/>
      <c r="AR346" s="132"/>
      <c r="AS346" s="132"/>
      <c r="AT346" s="47"/>
      <c r="AU346" s="7"/>
      <c r="AV346" s="134"/>
      <c r="AW346" s="132"/>
      <c r="AX346" s="132"/>
      <c r="AY346" s="132"/>
      <c r="AZ346" s="132"/>
      <c r="BA346" s="10"/>
      <c r="BB346" s="134"/>
      <c r="BC346" s="132"/>
      <c r="BD346" s="132"/>
      <c r="BE346" s="132"/>
      <c r="BF346" s="132"/>
      <c r="BG346" s="11"/>
      <c r="BH346" s="134"/>
      <c r="BI346" s="132"/>
      <c r="BJ346" s="132"/>
      <c r="BK346" s="132"/>
      <c r="BL346" s="132"/>
    </row>
    <row r="347" customFormat="false" ht="13.8" hidden="false" customHeight="false" outlineLevel="0" collapsed="false">
      <c r="A347" s="140"/>
      <c r="B347" s="140"/>
      <c r="C347" s="168"/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  <c r="N347" s="140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  <c r="AD347" s="132"/>
      <c r="AE347" s="132"/>
      <c r="AF347" s="132"/>
      <c r="AG347" s="132"/>
      <c r="AH347" s="132"/>
      <c r="AI347" s="132"/>
      <c r="AJ347" s="132"/>
      <c r="AK347" s="132"/>
      <c r="AL347" s="132"/>
      <c r="AM347" s="132"/>
      <c r="AN347" s="132"/>
      <c r="AO347" s="132"/>
      <c r="AP347" s="132"/>
      <c r="AQ347" s="141"/>
      <c r="AR347" s="132"/>
      <c r="AS347" s="132"/>
      <c r="AT347" s="47"/>
      <c r="AU347" s="7"/>
      <c r="AV347" s="134"/>
      <c r="AW347" s="132"/>
      <c r="AX347" s="132"/>
      <c r="AY347" s="132"/>
      <c r="AZ347" s="132"/>
      <c r="BA347" s="10"/>
      <c r="BB347" s="134"/>
      <c r="BC347" s="132"/>
      <c r="BD347" s="132"/>
      <c r="BE347" s="132"/>
      <c r="BF347" s="132"/>
      <c r="BG347" s="11"/>
      <c r="BH347" s="134"/>
      <c r="BI347" s="132"/>
      <c r="BJ347" s="132"/>
      <c r="BK347" s="132"/>
      <c r="BL347" s="132"/>
    </row>
    <row r="348" customFormat="false" ht="13.8" hidden="false" customHeight="false" outlineLevel="0" collapsed="false">
      <c r="A348" s="140"/>
      <c r="B348" s="140"/>
      <c r="C348" s="168"/>
      <c r="D348" s="132"/>
      <c r="E348" s="132"/>
      <c r="F348" s="132"/>
      <c r="G348" s="132"/>
      <c r="H348" s="132"/>
      <c r="I348" s="132"/>
      <c r="J348" s="132"/>
      <c r="K348" s="132"/>
      <c r="L348" s="132"/>
      <c r="M348" s="132"/>
      <c r="N348" s="140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132"/>
      <c r="Z348" s="132"/>
      <c r="AA348" s="132"/>
      <c r="AB348" s="132"/>
      <c r="AC348" s="132"/>
      <c r="AD348" s="132"/>
      <c r="AE348" s="132"/>
      <c r="AF348" s="132"/>
      <c r="AG348" s="132"/>
      <c r="AH348" s="132"/>
      <c r="AI348" s="132"/>
      <c r="AJ348" s="132"/>
      <c r="AK348" s="132"/>
      <c r="AL348" s="132"/>
      <c r="AM348" s="132"/>
      <c r="AN348" s="132"/>
      <c r="AO348" s="132"/>
      <c r="AP348" s="132"/>
      <c r="AQ348" s="141"/>
      <c r="AR348" s="132"/>
      <c r="AS348" s="132"/>
      <c r="AT348" s="47"/>
      <c r="AU348" s="7"/>
      <c r="AV348" s="134"/>
      <c r="AW348" s="132"/>
      <c r="AX348" s="132"/>
      <c r="AY348" s="132"/>
      <c r="AZ348" s="132"/>
      <c r="BA348" s="10"/>
      <c r="BB348" s="134"/>
      <c r="BC348" s="132"/>
      <c r="BD348" s="132"/>
      <c r="BE348" s="132"/>
      <c r="BF348" s="132"/>
      <c r="BG348" s="11"/>
      <c r="BH348" s="134"/>
      <c r="BI348" s="132"/>
      <c r="BJ348" s="132"/>
      <c r="BK348" s="132"/>
      <c r="BL348" s="132"/>
    </row>
    <row r="349" customFormat="false" ht="13.8" hidden="false" customHeight="false" outlineLevel="0" collapsed="false">
      <c r="A349" s="140"/>
      <c r="B349" s="140"/>
      <c r="C349" s="168"/>
      <c r="D349" s="132"/>
      <c r="E349" s="132"/>
      <c r="F349" s="132"/>
      <c r="G349" s="132"/>
      <c r="H349" s="132"/>
      <c r="I349" s="132"/>
      <c r="J349" s="132"/>
      <c r="K349" s="132"/>
      <c r="L349" s="132"/>
      <c r="M349" s="132"/>
      <c r="N349" s="140"/>
      <c r="O349" s="132"/>
      <c r="P349" s="132"/>
      <c r="Q349" s="132"/>
      <c r="R349" s="132"/>
      <c r="S349" s="132"/>
      <c r="T349" s="132"/>
      <c r="U349" s="132"/>
      <c r="V349" s="132"/>
      <c r="W349" s="132"/>
      <c r="X349" s="132"/>
      <c r="Y349" s="132"/>
      <c r="Z349" s="132"/>
      <c r="AA349" s="132"/>
      <c r="AB349" s="132"/>
      <c r="AC349" s="132"/>
      <c r="AD349" s="132"/>
      <c r="AE349" s="132"/>
      <c r="AF349" s="132"/>
      <c r="AG349" s="132"/>
      <c r="AH349" s="132"/>
      <c r="AI349" s="132"/>
      <c r="AJ349" s="132"/>
      <c r="AK349" s="132"/>
      <c r="AL349" s="132"/>
      <c r="AM349" s="132"/>
      <c r="AN349" s="132"/>
      <c r="AO349" s="132"/>
      <c r="AP349" s="132"/>
      <c r="AQ349" s="141"/>
      <c r="AR349" s="132"/>
      <c r="AS349" s="132"/>
      <c r="AT349" s="47"/>
      <c r="AU349" s="7"/>
      <c r="AV349" s="134"/>
      <c r="AW349" s="132"/>
      <c r="AX349" s="132"/>
      <c r="AY349" s="132"/>
      <c r="AZ349" s="132"/>
      <c r="BA349" s="10"/>
      <c r="BB349" s="134"/>
      <c r="BC349" s="132"/>
      <c r="BD349" s="132"/>
      <c r="BE349" s="132"/>
      <c r="BF349" s="132"/>
      <c r="BG349" s="11"/>
      <c r="BH349" s="134"/>
      <c r="BI349" s="132"/>
      <c r="BJ349" s="132"/>
      <c r="BK349" s="132"/>
      <c r="BL349" s="132"/>
    </row>
    <row r="350" customFormat="false" ht="13.8" hidden="false" customHeight="false" outlineLevel="0" collapsed="false">
      <c r="A350" s="140"/>
      <c r="B350" s="140"/>
      <c r="C350" s="168"/>
      <c r="D350" s="132"/>
      <c r="E350" s="132"/>
      <c r="F350" s="132"/>
      <c r="G350" s="132"/>
      <c r="H350" s="132"/>
      <c r="I350" s="132"/>
      <c r="J350" s="132"/>
      <c r="K350" s="132"/>
      <c r="L350" s="132"/>
      <c r="M350" s="132"/>
      <c r="N350" s="140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  <c r="AB350" s="132"/>
      <c r="AC350" s="132"/>
      <c r="AD350" s="132"/>
      <c r="AE350" s="132"/>
      <c r="AF350" s="132"/>
      <c r="AG350" s="132"/>
      <c r="AH350" s="132"/>
      <c r="AI350" s="132"/>
      <c r="AJ350" s="132"/>
      <c r="AK350" s="132"/>
      <c r="AL350" s="132"/>
      <c r="AM350" s="132"/>
      <c r="AN350" s="132"/>
      <c r="AO350" s="132"/>
      <c r="AP350" s="132"/>
      <c r="AQ350" s="141"/>
      <c r="AR350" s="132"/>
      <c r="AS350" s="132"/>
      <c r="AT350" s="47"/>
      <c r="AU350" s="7"/>
      <c r="AV350" s="134"/>
      <c r="AW350" s="132"/>
      <c r="AX350" s="132"/>
      <c r="AY350" s="132"/>
      <c r="AZ350" s="132"/>
      <c r="BA350" s="10"/>
      <c r="BB350" s="134"/>
      <c r="BC350" s="132"/>
      <c r="BD350" s="132"/>
      <c r="BE350" s="132"/>
      <c r="BF350" s="132"/>
      <c r="BG350" s="11"/>
      <c r="BH350" s="134"/>
      <c r="BI350" s="132"/>
      <c r="BJ350" s="132"/>
      <c r="BK350" s="132"/>
      <c r="BL350" s="132"/>
    </row>
    <row r="351" customFormat="false" ht="13.8" hidden="false" customHeight="false" outlineLevel="0" collapsed="false">
      <c r="A351" s="140"/>
      <c r="B351" s="140"/>
      <c r="C351" s="168"/>
      <c r="D351" s="132"/>
      <c r="E351" s="132"/>
      <c r="F351" s="132"/>
      <c r="G351" s="132"/>
      <c r="H351" s="132"/>
      <c r="I351" s="132"/>
      <c r="J351" s="132"/>
      <c r="K351" s="132"/>
      <c r="L351" s="132"/>
      <c r="M351" s="132"/>
      <c r="N351" s="140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  <c r="Z351" s="132"/>
      <c r="AA351" s="132"/>
      <c r="AB351" s="132"/>
      <c r="AC351" s="132"/>
      <c r="AD351" s="132"/>
      <c r="AE351" s="132"/>
      <c r="AF351" s="132"/>
      <c r="AG351" s="132"/>
      <c r="AH351" s="132"/>
      <c r="AI351" s="132"/>
      <c r="AJ351" s="132"/>
      <c r="AK351" s="132"/>
      <c r="AL351" s="132"/>
      <c r="AM351" s="132"/>
      <c r="AN351" s="132"/>
      <c r="AO351" s="132"/>
      <c r="AP351" s="132"/>
      <c r="AQ351" s="141"/>
      <c r="AR351" s="132"/>
      <c r="AS351" s="132"/>
      <c r="AT351" s="47"/>
      <c r="AU351" s="7"/>
      <c r="AV351" s="134"/>
      <c r="AW351" s="132"/>
      <c r="AX351" s="132"/>
      <c r="AY351" s="132"/>
      <c r="AZ351" s="132"/>
      <c r="BA351" s="10"/>
      <c r="BB351" s="134"/>
      <c r="BC351" s="132"/>
      <c r="BD351" s="132"/>
      <c r="BE351" s="132"/>
      <c r="BF351" s="132"/>
      <c r="BG351" s="11"/>
      <c r="BH351" s="134"/>
      <c r="BI351" s="132"/>
      <c r="BJ351" s="132"/>
      <c r="BK351" s="132"/>
      <c r="BL351" s="132"/>
    </row>
    <row r="352" customFormat="false" ht="13.8" hidden="false" customHeight="false" outlineLevel="0" collapsed="false">
      <c r="A352" s="140"/>
      <c r="B352" s="140"/>
      <c r="C352" s="168"/>
      <c r="D352" s="132"/>
      <c r="E352" s="132"/>
      <c r="F352" s="132"/>
      <c r="G352" s="132"/>
      <c r="H352" s="132"/>
      <c r="I352" s="132"/>
      <c r="J352" s="132"/>
      <c r="K352" s="132"/>
      <c r="L352" s="132"/>
      <c r="M352" s="132"/>
      <c r="N352" s="140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  <c r="AA352" s="132"/>
      <c r="AB352" s="132"/>
      <c r="AC352" s="132"/>
      <c r="AD352" s="132"/>
      <c r="AE352" s="132"/>
      <c r="AF352" s="132"/>
      <c r="AG352" s="132"/>
      <c r="AH352" s="132"/>
      <c r="AI352" s="132"/>
      <c r="AJ352" s="132"/>
      <c r="AK352" s="132"/>
      <c r="AL352" s="132"/>
      <c r="AM352" s="132"/>
      <c r="AN352" s="132"/>
      <c r="AO352" s="132"/>
      <c r="AP352" s="132"/>
      <c r="AQ352" s="141"/>
      <c r="AR352" s="132"/>
      <c r="AS352" s="132"/>
      <c r="AT352" s="47"/>
      <c r="AU352" s="7"/>
      <c r="AV352" s="134"/>
      <c r="AW352" s="132"/>
      <c r="AX352" s="132"/>
      <c r="AY352" s="132"/>
      <c r="AZ352" s="132"/>
      <c r="BA352" s="10"/>
      <c r="BB352" s="134"/>
      <c r="BC352" s="132"/>
      <c r="BD352" s="132"/>
      <c r="BE352" s="132"/>
      <c r="BF352" s="132"/>
      <c r="BG352" s="11"/>
      <c r="BH352" s="134"/>
      <c r="BI352" s="132"/>
      <c r="BJ352" s="132"/>
      <c r="BK352" s="132"/>
      <c r="BL352" s="132"/>
    </row>
    <row r="353" customFormat="false" ht="13.8" hidden="false" customHeight="false" outlineLevel="0" collapsed="false">
      <c r="A353" s="140"/>
      <c r="B353" s="140"/>
      <c r="C353" s="168"/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  <c r="N353" s="140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  <c r="AA353" s="132"/>
      <c r="AB353" s="132"/>
      <c r="AC353" s="132"/>
      <c r="AD353" s="132"/>
      <c r="AE353" s="132"/>
      <c r="AF353" s="132"/>
      <c r="AG353" s="132"/>
      <c r="AH353" s="132"/>
      <c r="AI353" s="132"/>
      <c r="AJ353" s="132"/>
      <c r="AK353" s="132"/>
      <c r="AL353" s="132"/>
      <c r="AM353" s="132"/>
      <c r="AN353" s="132"/>
      <c r="AO353" s="132"/>
      <c r="AP353" s="132"/>
      <c r="AQ353" s="141"/>
      <c r="AR353" s="132"/>
      <c r="AS353" s="132"/>
      <c r="AT353" s="47"/>
      <c r="AU353" s="7"/>
      <c r="AV353" s="134"/>
      <c r="AW353" s="132"/>
      <c r="AX353" s="132"/>
      <c r="AY353" s="132"/>
      <c r="AZ353" s="132"/>
      <c r="BA353" s="10"/>
      <c r="BB353" s="134"/>
      <c r="BC353" s="132"/>
      <c r="BD353" s="132"/>
      <c r="BE353" s="132"/>
      <c r="BF353" s="132"/>
      <c r="BG353" s="11"/>
      <c r="BH353" s="134"/>
      <c r="BI353" s="132"/>
      <c r="BJ353" s="132"/>
      <c r="BK353" s="132"/>
      <c r="BL353" s="132"/>
    </row>
    <row r="354" customFormat="false" ht="13.8" hidden="false" customHeight="false" outlineLevel="0" collapsed="false">
      <c r="A354" s="140"/>
      <c r="B354" s="140"/>
      <c r="C354" s="168"/>
      <c r="D354" s="132"/>
      <c r="E354" s="132"/>
      <c r="F354" s="132"/>
      <c r="G354" s="132"/>
      <c r="H354" s="132"/>
      <c r="I354" s="132"/>
      <c r="J354" s="132"/>
      <c r="K354" s="132"/>
      <c r="L354" s="132"/>
      <c r="M354" s="132"/>
      <c r="N354" s="140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132"/>
      <c r="Z354" s="132"/>
      <c r="AA354" s="132"/>
      <c r="AB354" s="132"/>
      <c r="AC354" s="132"/>
      <c r="AD354" s="132"/>
      <c r="AE354" s="132"/>
      <c r="AF354" s="132"/>
      <c r="AG354" s="132"/>
      <c r="AH354" s="132"/>
      <c r="AI354" s="132"/>
      <c r="AJ354" s="132"/>
      <c r="AK354" s="132"/>
      <c r="AL354" s="132"/>
      <c r="AM354" s="132"/>
      <c r="AN354" s="132"/>
      <c r="AO354" s="132"/>
      <c r="AP354" s="132"/>
      <c r="AQ354" s="141"/>
      <c r="AR354" s="132"/>
      <c r="AS354" s="132"/>
      <c r="AT354" s="47"/>
      <c r="AU354" s="7"/>
      <c r="AV354" s="134"/>
      <c r="AW354" s="132"/>
      <c r="AX354" s="132"/>
      <c r="AY354" s="132"/>
      <c r="AZ354" s="132"/>
      <c r="BA354" s="10"/>
      <c r="BB354" s="134"/>
      <c r="BC354" s="132"/>
      <c r="BD354" s="132"/>
      <c r="BE354" s="132"/>
      <c r="BF354" s="132"/>
      <c r="BG354" s="11"/>
      <c r="BH354" s="134"/>
      <c r="BI354" s="132"/>
      <c r="BJ354" s="132"/>
      <c r="BK354" s="132"/>
      <c r="BL354" s="132"/>
    </row>
    <row r="355" customFormat="false" ht="13.8" hidden="false" customHeight="false" outlineLevel="0" collapsed="false">
      <c r="A355" s="140"/>
      <c r="B355" s="140"/>
      <c r="C355" s="168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40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132"/>
      <c r="Z355" s="132"/>
      <c r="AA355" s="132"/>
      <c r="AB355" s="132"/>
      <c r="AC355" s="132"/>
      <c r="AD355" s="132"/>
      <c r="AE355" s="132"/>
      <c r="AF355" s="132"/>
      <c r="AG355" s="132"/>
      <c r="AH355" s="132"/>
      <c r="AI355" s="132"/>
      <c r="AJ355" s="132"/>
      <c r="AK355" s="132"/>
      <c r="AL355" s="132"/>
      <c r="AM355" s="132"/>
      <c r="AN355" s="132"/>
      <c r="AO355" s="132"/>
      <c r="AP355" s="132"/>
      <c r="AQ355" s="141"/>
      <c r="AR355" s="132"/>
      <c r="AS355" s="132"/>
      <c r="AT355" s="47"/>
      <c r="AU355" s="7"/>
      <c r="AV355" s="134"/>
      <c r="AW355" s="132"/>
      <c r="AX355" s="132"/>
      <c r="AY355" s="132"/>
      <c r="AZ355" s="132"/>
      <c r="BA355" s="10"/>
      <c r="BB355" s="134"/>
      <c r="BC355" s="132"/>
      <c r="BD355" s="132"/>
      <c r="BE355" s="132"/>
      <c r="BF355" s="132"/>
      <c r="BG355" s="11"/>
      <c r="BH355" s="134"/>
      <c r="BI355" s="132"/>
      <c r="BJ355" s="132"/>
      <c r="BK355" s="132"/>
      <c r="BL355" s="132"/>
    </row>
    <row r="356" customFormat="false" ht="13.8" hidden="false" customHeight="false" outlineLevel="0" collapsed="false">
      <c r="A356" s="140"/>
      <c r="B356" s="140"/>
      <c r="C356" s="168"/>
      <c r="D356" s="132"/>
      <c r="E356" s="132"/>
      <c r="F356" s="132"/>
      <c r="G356" s="132"/>
      <c r="H356" s="132"/>
      <c r="I356" s="132"/>
      <c r="J356" s="132"/>
      <c r="K356" s="132"/>
      <c r="L356" s="132"/>
      <c r="M356" s="132"/>
      <c r="N356" s="140"/>
      <c r="O356" s="132"/>
      <c r="P356" s="132"/>
      <c r="Q356" s="132"/>
      <c r="R356" s="132"/>
      <c r="S356" s="132"/>
      <c r="T356" s="132"/>
      <c r="U356" s="132"/>
      <c r="V356" s="132"/>
      <c r="W356" s="132"/>
      <c r="X356" s="132"/>
      <c r="Y356" s="132"/>
      <c r="Z356" s="132"/>
      <c r="AA356" s="132"/>
      <c r="AB356" s="132"/>
      <c r="AC356" s="132"/>
      <c r="AD356" s="132"/>
      <c r="AE356" s="132"/>
      <c r="AF356" s="132"/>
      <c r="AG356" s="132"/>
      <c r="AH356" s="132"/>
      <c r="AI356" s="132"/>
      <c r="AJ356" s="132"/>
      <c r="AK356" s="132"/>
      <c r="AL356" s="132"/>
      <c r="AM356" s="132"/>
      <c r="AN356" s="132"/>
      <c r="AO356" s="132"/>
      <c r="AP356" s="132"/>
      <c r="AQ356" s="141"/>
      <c r="AR356" s="132"/>
      <c r="AS356" s="132"/>
      <c r="AT356" s="47"/>
      <c r="AU356" s="7"/>
      <c r="AV356" s="134"/>
      <c r="AW356" s="132"/>
      <c r="AX356" s="132"/>
      <c r="AY356" s="132"/>
      <c r="AZ356" s="132"/>
      <c r="BA356" s="10"/>
      <c r="BB356" s="134"/>
      <c r="BC356" s="132"/>
      <c r="BD356" s="132"/>
      <c r="BE356" s="132"/>
      <c r="BF356" s="132"/>
      <c r="BG356" s="11"/>
      <c r="BH356" s="134"/>
      <c r="BI356" s="132"/>
      <c r="BJ356" s="132"/>
      <c r="BK356" s="132"/>
      <c r="BL356" s="132"/>
    </row>
    <row r="357" customFormat="false" ht="13.8" hidden="false" customHeight="false" outlineLevel="0" collapsed="false">
      <c r="A357" s="140"/>
      <c r="B357" s="140"/>
      <c r="C357" s="168"/>
      <c r="D357" s="132"/>
      <c r="E357" s="132"/>
      <c r="F357" s="132"/>
      <c r="G357" s="132"/>
      <c r="H357" s="132"/>
      <c r="I357" s="132"/>
      <c r="J357" s="132"/>
      <c r="K357" s="132"/>
      <c r="L357" s="132"/>
      <c r="M357" s="132"/>
      <c r="N357" s="140"/>
      <c r="O357" s="132"/>
      <c r="P357" s="132"/>
      <c r="Q357" s="132"/>
      <c r="R357" s="132"/>
      <c r="S357" s="132"/>
      <c r="T357" s="132"/>
      <c r="U357" s="132"/>
      <c r="V357" s="132"/>
      <c r="W357" s="132"/>
      <c r="X357" s="132"/>
      <c r="Y357" s="132"/>
      <c r="Z357" s="132"/>
      <c r="AA357" s="132"/>
      <c r="AB357" s="132"/>
      <c r="AC357" s="132"/>
      <c r="AD357" s="132"/>
      <c r="AE357" s="132"/>
      <c r="AF357" s="132"/>
      <c r="AG357" s="132"/>
      <c r="AH357" s="132"/>
      <c r="AI357" s="132"/>
      <c r="AJ357" s="132"/>
      <c r="AK357" s="132"/>
      <c r="AL357" s="132"/>
      <c r="AM357" s="132"/>
      <c r="AN357" s="132"/>
      <c r="AO357" s="132"/>
      <c r="AP357" s="132"/>
      <c r="AQ357" s="141"/>
      <c r="AR357" s="132"/>
      <c r="AS357" s="132"/>
      <c r="AT357" s="47"/>
      <c r="AU357" s="7"/>
      <c r="AV357" s="134"/>
      <c r="AW357" s="132"/>
      <c r="AX357" s="132"/>
      <c r="AY357" s="132"/>
      <c r="AZ357" s="132"/>
      <c r="BA357" s="10"/>
      <c r="BB357" s="134"/>
      <c r="BC357" s="132"/>
      <c r="BD357" s="132"/>
      <c r="BE357" s="132"/>
      <c r="BF357" s="132"/>
      <c r="BG357" s="11"/>
      <c r="BH357" s="134"/>
      <c r="BI357" s="132"/>
      <c r="BJ357" s="132"/>
      <c r="BK357" s="132"/>
      <c r="BL357" s="132"/>
    </row>
    <row r="358" customFormat="false" ht="13.8" hidden="false" customHeight="false" outlineLevel="0" collapsed="false">
      <c r="A358" s="140"/>
      <c r="B358" s="140"/>
      <c r="C358" s="168"/>
      <c r="D358" s="132"/>
      <c r="E358" s="132"/>
      <c r="F358" s="132"/>
      <c r="G358" s="132"/>
      <c r="H358" s="132"/>
      <c r="I358" s="132"/>
      <c r="J358" s="132"/>
      <c r="K358" s="132"/>
      <c r="L358" s="132"/>
      <c r="M358" s="132"/>
      <c r="N358" s="140"/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  <c r="AA358" s="132"/>
      <c r="AB358" s="132"/>
      <c r="AC358" s="132"/>
      <c r="AD358" s="132"/>
      <c r="AE358" s="132"/>
      <c r="AF358" s="132"/>
      <c r="AG358" s="132"/>
      <c r="AH358" s="132"/>
      <c r="AI358" s="132"/>
      <c r="AJ358" s="132"/>
      <c r="AK358" s="132"/>
      <c r="AL358" s="132"/>
      <c r="AM358" s="132"/>
      <c r="AN358" s="132"/>
      <c r="AO358" s="132"/>
      <c r="AP358" s="132"/>
      <c r="AQ358" s="141"/>
      <c r="AR358" s="132"/>
      <c r="AS358" s="132"/>
      <c r="AT358" s="47"/>
      <c r="AU358" s="7"/>
      <c r="AV358" s="134"/>
      <c r="AW358" s="132"/>
      <c r="AX358" s="132"/>
      <c r="AY358" s="132"/>
      <c r="AZ358" s="132"/>
      <c r="BA358" s="10"/>
      <c r="BB358" s="134"/>
      <c r="BC358" s="132"/>
      <c r="BD358" s="132"/>
      <c r="BE358" s="132"/>
      <c r="BF358" s="132"/>
      <c r="BG358" s="11"/>
      <c r="BH358" s="134"/>
      <c r="BI358" s="132"/>
      <c r="BJ358" s="132"/>
      <c r="BK358" s="132"/>
      <c r="BL358" s="132"/>
    </row>
    <row r="359" customFormat="false" ht="13.8" hidden="false" customHeight="false" outlineLevel="0" collapsed="false">
      <c r="A359" s="140"/>
      <c r="B359" s="140"/>
      <c r="C359" s="168"/>
      <c r="D359" s="132"/>
      <c r="E359" s="132"/>
      <c r="F359" s="132"/>
      <c r="G359" s="132"/>
      <c r="H359" s="132"/>
      <c r="I359" s="132"/>
      <c r="J359" s="132"/>
      <c r="K359" s="132"/>
      <c r="L359" s="132"/>
      <c r="M359" s="132"/>
      <c r="N359" s="140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  <c r="AA359" s="132"/>
      <c r="AB359" s="132"/>
      <c r="AC359" s="132"/>
      <c r="AD359" s="132"/>
      <c r="AE359" s="132"/>
      <c r="AF359" s="132"/>
      <c r="AG359" s="132"/>
      <c r="AH359" s="132"/>
      <c r="AI359" s="132"/>
      <c r="AJ359" s="132"/>
      <c r="AK359" s="132"/>
      <c r="AL359" s="132"/>
      <c r="AM359" s="132"/>
      <c r="AN359" s="132"/>
      <c r="AO359" s="132"/>
      <c r="AP359" s="132"/>
      <c r="AQ359" s="141"/>
      <c r="AR359" s="132"/>
      <c r="AS359" s="132"/>
      <c r="AT359" s="47"/>
      <c r="AU359" s="7"/>
      <c r="AV359" s="134"/>
      <c r="AW359" s="132"/>
      <c r="AX359" s="132"/>
      <c r="AY359" s="132"/>
      <c r="AZ359" s="132"/>
      <c r="BA359" s="10"/>
      <c r="BB359" s="134"/>
      <c r="BC359" s="132"/>
      <c r="BD359" s="132"/>
      <c r="BE359" s="132"/>
      <c r="BF359" s="132"/>
      <c r="BG359" s="11"/>
      <c r="BH359" s="134"/>
      <c r="BI359" s="132"/>
      <c r="BJ359" s="132"/>
      <c r="BK359" s="132"/>
      <c r="BL359" s="132"/>
    </row>
    <row r="360" customFormat="false" ht="13.8" hidden="false" customHeight="false" outlineLevel="0" collapsed="false">
      <c r="A360" s="140"/>
      <c r="B360" s="140"/>
      <c r="C360" s="168"/>
      <c r="D360" s="132"/>
      <c r="E360" s="132"/>
      <c r="F360" s="132"/>
      <c r="G360" s="132"/>
      <c r="H360" s="132"/>
      <c r="I360" s="132"/>
      <c r="J360" s="132"/>
      <c r="K360" s="132"/>
      <c r="L360" s="132"/>
      <c r="M360" s="132"/>
      <c r="N360" s="140"/>
      <c r="O360" s="132"/>
      <c r="P360" s="132"/>
      <c r="Q360" s="132"/>
      <c r="R360" s="132"/>
      <c r="S360" s="132"/>
      <c r="T360" s="132"/>
      <c r="U360" s="132"/>
      <c r="V360" s="132"/>
      <c r="W360" s="132"/>
      <c r="X360" s="132"/>
      <c r="Y360" s="132"/>
      <c r="Z360" s="132"/>
      <c r="AA360" s="132"/>
      <c r="AB360" s="132"/>
      <c r="AC360" s="132"/>
      <c r="AD360" s="132"/>
      <c r="AE360" s="132"/>
      <c r="AF360" s="132"/>
      <c r="AG360" s="132"/>
      <c r="AH360" s="132"/>
      <c r="AI360" s="132"/>
      <c r="AJ360" s="132"/>
      <c r="AK360" s="132"/>
      <c r="AL360" s="132"/>
      <c r="AM360" s="132"/>
      <c r="AN360" s="132"/>
      <c r="AO360" s="132"/>
      <c r="AP360" s="132"/>
      <c r="AQ360" s="141"/>
      <c r="AR360" s="132"/>
      <c r="AS360" s="132"/>
      <c r="AT360" s="47"/>
      <c r="AU360" s="7"/>
      <c r="AV360" s="134"/>
      <c r="AW360" s="132"/>
      <c r="AX360" s="132"/>
      <c r="AY360" s="132"/>
      <c r="AZ360" s="132"/>
      <c r="BA360" s="10"/>
      <c r="BB360" s="134"/>
      <c r="BC360" s="132"/>
      <c r="BD360" s="132"/>
      <c r="BE360" s="132"/>
      <c r="BF360" s="132"/>
      <c r="BG360" s="11"/>
      <c r="BH360" s="134"/>
      <c r="BI360" s="132"/>
      <c r="BJ360" s="132"/>
      <c r="BK360" s="132"/>
      <c r="BL360" s="132"/>
    </row>
    <row r="361" customFormat="false" ht="13.8" hidden="false" customHeight="false" outlineLevel="0" collapsed="false">
      <c r="A361" s="140"/>
      <c r="B361" s="140"/>
      <c r="C361" s="168"/>
      <c r="D361" s="132"/>
      <c r="E361" s="132"/>
      <c r="F361" s="132"/>
      <c r="G361" s="132"/>
      <c r="H361" s="132"/>
      <c r="I361" s="132"/>
      <c r="J361" s="132"/>
      <c r="K361" s="132"/>
      <c r="L361" s="132"/>
      <c r="M361" s="132"/>
      <c r="N361" s="140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32"/>
      <c r="AE361" s="132"/>
      <c r="AF361" s="132"/>
      <c r="AG361" s="132"/>
      <c r="AH361" s="132"/>
      <c r="AI361" s="132"/>
      <c r="AJ361" s="132"/>
      <c r="AK361" s="132"/>
      <c r="AL361" s="132"/>
      <c r="AM361" s="132"/>
      <c r="AN361" s="132"/>
      <c r="AO361" s="132"/>
      <c r="AP361" s="132"/>
      <c r="AQ361" s="141"/>
      <c r="AR361" s="132"/>
      <c r="AS361" s="132"/>
      <c r="AT361" s="47"/>
      <c r="AU361" s="7"/>
      <c r="AV361" s="134"/>
      <c r="AW361" s="132"/>
      <c r="AX361" s="132"/>
      <c r="AY361" s="132"/>
      <c r="AZ361" s="132"/>
      <c r="BA361" s="10"/>
      <c r="BB361" s="134"/>
      <c r="BC361" s="132"/>
      <c r="BD361" s="132"/>
      <c r="BE361" s="132"/>
      <c r="BF361" s="132"/>
      <c r="BG361" s="11"/>
      <c r="BH361" s="134"/>
      <c r="BI361" s="132"/>
      <c r="BJ361" s="132"/>
      <c r="BK361" s="132"/>
      <c r="BL361" s="132"/>
    </row>
    <row r="362" customFormat="false" ht="13.8" hidden="false" customHeight="false" outlineLevel="0" collapsed="false">
      <c r="A362" s="140"/>
      <c r="B362" s="140"/>
      <c r="C362" s="168"/>
      <c r="D362" s="132"/>
      <c r="E362" s="132"/>
      <c r="F362" s="132"/>
      <c r="G362" s="132"/>
      <c r="H362" s="132"/>
      <c r="I362" s="132"/>
      <c r="J362" s="132"/>
      <c r="K362" s="132"/>
      <c r="L362" s="132"/>
      <c r="M362" s="132"/>
      <c r="N362" s="140"/>
      <c r="O362" s="132"/>
      <c r="P362" s="132"/>
      <c r="Q362" s="132"/>
      <c r="R362" s="132"/>
      <c r="S362" s="132"/>
      <c r="T362" s="132"/>
      <c r="U362" s="132"/>
      <c r="V362" s="132"/>
      <c r="W362" s="132"/>
      <c r="X362" s="132"/>
      <c r="Y362" s="132"/>
      <c r="Z362" s="132"/>
      <c r="AA362" s="132"/>
      <c r="AB362" s="132"/>
      <c r="AC362" s="132"/>
      <c r="AD362" s="132"/>
      <c r="AE362" s="132"/>
      <c r="AF362" s="132"/>
      <c r="AG362" s="132"/>
      <c r="AH362" s="132"/>
      <c r="AI362" s="132"/>
      <c r="AJ362" s="132"/>
      <c r="AK362" s="132"/>
      <c r="AL362" s="132"/>
      <c r="AM362" s="132"/>
      <c r="AN362" s="132"/>
      <c r="AO362" s="132"/>
      <c r="AP362" s="132"/>
      <c r="AQ362" s="141"/>
      <c r="AR362" s="132"/>
      <c r="AS362" s="132"/>
      <c r="AT362" s="47"/>
      <c r="AU362" s="7"/>
      <c r="AV362" s="134"/>
      <c r="AW362" s="132"/>
      <c r="AX362" s="132"/>
      <c r="AY362" s="132"/>
      <c r="AZ362" s="132"/>
      <c r="BA362" s="10"/>
      <c r="BB362" s="134"/>
      <c r="BC362" s="132"/>
      <c r="BD362" s="132"/>
      <c r="BE362" s="132"/>
      <c r="BF362" s="132"/>
      <c r="BG362" s="11"/>
      <c r="BH362" s="134"/>
      <c r="BI362" s="132"/>
      <c r="BJ362" s="132"/>
      <c r="BK362" s="132"/>
      <c r="BL362" s="132"/>
    </row>
    <row r="363" customFormat="false" ht="13.8" hidden="false" customHeight="false" outlineLevel="0" collapsed="false">
      <c r="A363" s="140"/>
      <c r="B363" s="140"/>
      <c r="C363" s="168"/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  <c r="N363" s="140"/>
      <c r="O363" s="132"/>
      <c r="P363" s="132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  <c r="AA363" s="132"/>
      <c r="AB363" s="132"/>
      <c r="AC363" s="132"/>
      <c r="AD363" s="132"/>
      <c r="AE363" s="132"/>
      <c r="AF363" s="132"/>
      <c r="AG363" s="132"/>
      <c r="AH363" s="132"/>
      <c r="AI363" s="132"/>
      <c r="AJ363" s="132"/>
      <c r="AK363" s="132"/>
      <c r="AL363" s="132"/>
      <c r="AM363" s="132"/>
      <c r="AN363" s="132"/>
      <c r="AO363" s="132"/>
      <c r="AP363" s="132"/>
      <c r="AQ363" s="141"/>
      <c r="AR363" s="132"/>
      <c r="AS363" s="132"/>
      <c r="AT363" s="47"/>
      <c r="AU363" s="7"/>
      <c r="AV363" s="134"/>
      <c r="AW363" s="132"/>
      <c r="AX363" s="132"/>
      <c r="AY363" s="132"/>
      <c r="AZ363" s="132"/>
      <c r="BA363" s="10"/>
      <c r="BB363" s="134"/>
      <c r="BC363" s="132"/>
      <c r="BD363" s="132"/>
      <c r="BE363" s="132"/>
      <c r="BF363" s="132"/>
      <c r="BG363" s="11"/>
      <c r="BH363" s="134"/>
      <c r="BI363" s="132"/>
      <c r="BJ363" s="132"/>
      <c r="BK363" s="132"/>
      <c r="BL363" s="132"/>
    </row>
    <row r="364" customFormat="false" ht="13.8" hidden="false" customHeight="false" outlineLevel="0" collapsed="false">
      <c r="A364" s="140"/>
      <c r="B364" s="140"/>
      <c r="C364" s="168"/>
      <c r="D364" s="132"/>
      <c r="E364" s="132"/>
      <c r="F364" s="132"/>
      <c r="G364" s="132"/>
      <c r="H364" s="132"/>
      <c r="I364" s="132"/>
      <c r="J364" s="132"/>
      <c r="K364" s="132"/>
      <c r="L364" s="132"/>
      <c r="M364" s="132"/>
      <c r="N364" s="140"/>
      <c r="O364" s="132"/>
      <c r="P364" s="132"/>
      <c r="Q364" s="132"/>
      <c r="R364" s="132"/>
      <c r="S364" s="132"/>
      <c r="T364" s="132"/>
      <c r="U364" s="132"/>
      <c r="V364" s="132"/>
      <c r="W364" s="132"/>
      <c r="X364" s="132"/>
      <c r="Y364" s="132"/>
      <c r="Z364" s="132"/>
      <c r="AA364" s="132"/>
      <c r="AB364" s="132"/>
      <c r="AC364" s="132"/>
      <c r="AD364" s="132"/>
      <c r="AE364" s="132"/>
      <c r="AF364" s="132"/>
      <c r="AG364" s="132"/>
      <c r="AH364" s="132"/>
      <c r="AI364" s="132"/>
      <c r="AJ364" s="132"/>
      <c r="AK364" s="132"/>
      <c r="AL364" s="132"/>
      <c r="AM364" s="132"/>
      <c r="AN364" s="132"/>
      <c r="AO364" s="132"/>
      <c r="AP364" s="132"/>
      <c r="AQ364" s="141"/>
      <c r="AR364" s="132"/>
      <c r="AS364" s="132"/>
      <c r="AT364" s="47"/>
      <c r="AU364" s="7"/>
      <c r="AV364" s="134"/>
      <c r="AW364" s="132"/>
      <c r="AX364" s="132"/>
      <c r="AY364" s="132"/>
      <c r="AZ364" s="132"/>
      <c r="BA364" s="10"/>
      <c r="BB364" s="134"/>
      <c r="BC364" s="132"/>
      <c r="BD364" s="132"/>
      <c r="BE364" s="132"/>
      <c r="BF364" s="132"/>
      <c r="BG364" s="11"/>
      <c r="BH364" s="134"/>
      <c r="BI364" s="132"/>
      <c r="BJ364" s="132"/>
      <c r="BK364" s="132"/>
      <c r="BL364" s="132"/>
    </row>
    <row r="365" customFormat="false" ht="13.8" hidden="false" customHeight="false" outlineLevel="0" collapsed="false">
      <c r="A365" s="140"/>
      <c r="B365" s="140"/>
      <c r="C365" s="168"/>
      <c r="D365" s="132"/>
      <c r="E365" s="132"/>
      <c r="F365" s="132"/>
      <c r="G365" s="132"/>
      <c r="H365" s="132"/>
      <c r="I365" s="132"/>
      <c r="J365" s="132"/>
      <c r="K365" s="132"/>
      <c r="L365" s="132"/>
      <c r="M365" s="132"/>
      <c r="N365" s="140"/>
      <c r="O365" s="132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  <c r="AF365" s="132"/>
      <c r="AG365" s="132"/>
      <c r="AH365" s="132"/>
      <c r="AI365" s="132"/>
      <c r="AJ365" s="132"/>
      <c r="AK365" s="132"/>
      <c r="AL365" s="132"/>
      <c r="AM365" s="132"/>
      <c r="AN365" s="132"/>
      <c r="AO365" s="132"/>
      <c r="AP365" s="132"/>
      <c r="AQ365" s="141"/>
      <c r="AR365" s="132"/>
      <c r="AS365" s="132"/>
      <c r="AT365" s="47"/>
      <c r="AU365" s="7"/>
      <c r="AV365" s="134"/>
      <c r="AW365" s="132"/>
      <c r="AX365" s="132"/>
      <c r="AY365" s="132"/>
      <c r="AZ365" s="132"/>
      <c r="BA365" s="10"/>
      <c r="BB365" s="134"/>
      <c r="BC365" s="132"/>
      <c r="BD365" s="132"/>
      <c r="BE365" s="132"/>
      <c r="BF365" s="132"/>
      <c r="BG365" s="11"/>
      <c r="BH365" s="134"/>
      <c r="BI365" s="132"/>
      <c r="BJ365" s="132"/>
      <c r="BK365" s="132"/>
      <c r="BL365" s="132"/>
    </row>
    <row r="366" customFormat="false" ht="13.8" hidden="false" customHeight="false" outlineLevel="0" collapsed="false">
      <c r="A366" s="140"/>
      <c r="B366" s="140"/>
      <c r="C366" s="168"/>
      <c r="D366" s="132"/>
      <c r="E366" s="132"/>
      <c r="F366" s="132"/>
      <c r="G366" s="132"/>
      <c r="H366" s="132"/>
      <c r="I366" s="132"/>
      <c r="J366" s="132"/>
      <c r="K366" s="132"/>
      <c r="L366" s="132"/>
      <c r="M366" s="132"/>
      <c r="N366" s="140"/>
      <c r="O366" s="132"/>
      <c r="P366" s="132"/>
      <c r="Q366" s="132"/>
      <c r="R366" s="132"/>
      <c r="S366" s="132"/>
      <c r="T366" s="132"/>
      <c r="U366" s="132"/>
      <c r="V366" s="132"/>
      <c r="W366" s="132"/>
      <c r="X366" s="132"/>
      <c r="Y366" s="132"/>
      <c r="Z366" s="132"/>
      <c r="AA366" s="132"/>
      <c r="AB366" s="132"/>
      <c r="AC366" s="132"/>
      <c r="AD366" s="132"/>
      <c r="AE366" s="132"/>
      <c r="AF366" s="132"/>
      <c r="AG366" s="132"/>
      <c r="AH366" s="132"/>
      <c r="AI366" s="132"/>
      <c r="AJ366" s="132"/>
      <c r="AK366" s="132"/>
      <c r="AL366" s="132"/>
      <c r="AM366" s="132"/>
      <c r="AN366" s="132"/>
      <c r="AO366" s="132"/>
      <c r="AP366" s="132"/>
      <c r="AQ366" s="141"/>
      <c r="AR366" s="132"/>
      <c r="AS366" s="132"/>
      <c r="AT366" s="47"/>
      <c r="AU366" s="7"/>
      <c r="AV366" s="134"/>
      <c r="AW366" s="132"/>
      <c r="AX366" s="132"/>
      <c r="AY366" s="132"/>
      <c r="AZ366" s="132"/>
      <c r="BA366" s="10"/>
      <c r="BB366" s="134"/>
      <c r="BC366" s="132"/>
      <c r="BD366" s="132"/>
      <c r="BE366" s="132"/>
      <c r="BF366" s="132"/>
      <c r="BG366" s="11"/>
      <c r="BH366" s="134"/>
      <c r="BI366" s="132"/>
      <c r="BJ366" s="132"/>
      <c r="BK366" s="132"/>
      <c r="BL366" s="132"/>
    </row>
    <row r="367" customFormat="false" ht="13.8" hidden="false" customHeight="false" outlineLevel="0" collapsed="false">
      <c r="A367" s="140"/>
      <c r="B367" s="140"/>
      <c r="C367" s="168"/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40"/>
      <c r="O367" s="132"/>
      <c r="P367" s="132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  <c r="AA367" s="132"/>
      <c r="AB367" s="132"/>
      <c r="AC367" s="132"/>
      <c r="AD367" s="132"/>
      <c r="AE367" s="132"/>
      <c r="AF367" s="132"/>
      <c r="AG367" s="132"/>
      <c r="AH367" s="132"/>
      <c r="AI367" s="132"/>
      <c r="AJ367" s="132"/>
      <c r="AK367" s="132"/>
      <c r="AL367" s="132"/>
      <c r="AM367" s="132"/>
      <c r="AN367" s="132"/>
      <c r="AO367" s="132"/>
      <c r="AP367" s="132"/>
      <c r="AQ367" s="141"/>
      <c r="AR367" s="132"/>
      <c r="AS367" s="132"/>
      <c r="AT367" s="47"/>
      <c r="AU367" s="7"/>
      <c r="AV367" s="134"/>
      <c r="AW367" s="132"/>
      <c r="AX367" s="132"/>
      <c r="AY367" s="132"/>
      <c r="AZ367" s="132"/>
      <c r="BA367" s="10"/>
      <c r="BB367" s="134"/>
      <c r="BC367" s="132"/>
      <c r="BD367" s="132"/>
      <c r="BE367" s="132"/>
      <c r="BF367" s="132"/>
      <c r="BG367" s="11"/>
      <c r="BH367" s="134"/>
      <c r="BI367" s="132"/>
      <c r="BJ367" s="132"/>
      <c r="BK367" s="132"/>
      <c r="BL367" s="132"/>
    </row>
    <row r="368" customFormat="false" ht="13.8" hidden="false" customHeight="false" outlineLevel="0" collapsed="false">
      <c r="A368" s="140"/>
      <c r="B368" s="140"/>
      <c r="C368" s="168"/>
      <c r="D368" s="132"/>
      <c r="E368" s="132"/>
      <c r="F368" s="132"/>
      <c r="G368" s="132"/>
      <c r="H368" s="132"/>
      <c r="I368" s="132"/>
      <c r="J368" s="132"/>
      <c r="K368" s="132"/>
      <c r="L368" s="132"/>
      <c r="M368" s="132"/>
      <c r="N368" s="140"/>
      <c r="O368" s="132"/>
      <c r="P368" s="132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  <c r="AA368" s="132"/>
      <c r="AB368" s="132"/>
      <c r="AC368" s="132"/>
      <c r="AD368" s="132"/>
      <c r="AE368" s="132"/>
      <c r="AF368" s="132"/>
      <c r="AG368" s="132"/>
      <c r="AH368" s="132"/>
      <c r="AI368" s="132"/>
      <c r="AJ368" s="132"/>
      <c r="AK368" s="132"/>
      <c r="AL368" s="132"/>
      <c r="AM368" s="132"/>
      <c r="AN368" s="132"/>
      <c r="AO368" s="132"/>
      <c r="AP368" s="132"/>
      <c r="AQ368" s="141"/>
      <c r="AR368" s="132"/>
      <c r="AS368" s="132"/>
      <c r="AT368" s="47"/>
      <c r="AU368" s="7"/>
      <c r="AV368" s="134"/>
      <c r="AW368" s="132"/>
      <c r="AX368" s="132"/>
      <c r="AY368" s="132"/>
      <c r="AZ368" s="132"/>
      <c r="BA368" s="10"/>
      <c r="BB368" s="134"/>
      <c r="BC368" s="132"/>
      <c r="BD368" s="132"/>
      <c r="BE368" s="132"/>
      <c r="BF368" s="132"/>
      <c r="BG368" s="11"/>
      <c r="BH368" s="134"/>
      <c r="BI368" s="132"/>
      <c r="BJ368" s="132"/>
      <c r="BK368" s="132"/>
      <c r="BL368" s="132"/>
    </row>
    <row r="369" customFormat="false" ht="13.8" hidden="false" customHeight="false" outlineLevel="0" collapsed="false">
      <c r="A369" s="140"/>
      <c r="B369" s="140"/>
      <c r="C369" s="168"/>
      <c r="D369" s="132"/>
      <c r="E369" s="132"/>
      <c r="F369" s="132"/>
      <c r="G369" s="132"/>
      <c r="H369" s="132"/>
      <c r="I369" s="132"/>
      <c r="J369" s="132"/>
      <c r="K369" s="132"/>
      <c r="L369" s="132"/>
      <c r="M369" s="132"/>
      <c r="N369" s="140"/>
      <c r="O369" s="132"/>
      <c r="P369" s="132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  <c r="AA369" s="132"/>
      <c r="AB369" s="132"/>
      <c r="AC369" s="132"/>
      <c r="AD369" s="132"/>
      <c r="AE369" s="132"/>
      <c r="AF369" s="132"/>
      <c r="AG369" s="132"/>
      <c r="AH369" s="132"/>
      <c r="AI369" s="132"/>
      <c r="AJ369" s="132"/>
      <c r="AK369" s="132"/>
      <c r="AL369" s="132"/>
      <c r="AM369" s="132"/>
      <c r="AN369" s="132"/>
      <c r="AO369" s="132"/>
      <c r="AP369" s="132"/>
      <c r="AQ369" s="141"/>
      <c r="AR369" s="132"/>
      <c r="AS369" s="132"/>
      <c r="AT369" s="47"/>
      <c r="AU369" s="7"/>
      <c r="AV369" s="134"/>
      <c r="AW369" s="132"/>
      <c r="AX369" s="132"/>
      <c r="AY369" s="132"/>
      <c r="AZ369" s="132"/>
      <c r="BA369" s="10"/>
      <c r="BB369" s="134"/>
      <c r="BC369" s="132"/>
      <c r="BD369" s="132"/>
      <c r="BE369" s="132"/>
      <c r="BF369" s="132"/>
      <c r="BG369" s="11"/>
      <c r="BH369" s="134"/>
      <c r="BI369" s="132"/>
      <c r="BJ369" s="132"/>
      <c r="BK369" s="132"/>
      <c r="BL369" s="132"/>
    </row>
    <row r="370" customFormat="false" ht="13.8" hidden="false" customHeight="false" outlineLevel="0" collapsed="false">
      <c r="A370" s="140"/>
      <c r="B370" s="140"/>
      <c r="C370" s="168"/>
      <c r="D370" s="132"/>
      <c r="E370" s="132"/>
      <c r="F370" s="132"/>
      <c r="G370" s="132"/>
      <c r="H370" s="132"/>
      <c r="I370" s="132"/>
      <c r="J370" s="132"/>
      <c r="K370" s="132"/>
      <c r="L370" s="132"/>
      <c r="M370" s="132"/>
      <c r="N370" s="140"/>
      <c r="O370" s="132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  <c r="AA370" s="132"/>
      <c r="AB370" s="132"/>
      <c r="AC370" s="132"/>
      <c r="AD370" s="132"/>
      <c r="AE370" s="132"/>
      <c r="AF370" s="132"/>
      <c r="AG370" s="132"/>
      <c r="AH370" s="132"/>
      <c r="AI370" s="132"/>
      <c r="AJ370" s="132"/>
      <c r="AK370" s="132"/>
      <c r="AL370" s="132"/>
      <c r="AM370" s="132"/>
      <c r="AN370" s="132"/>
      <c r="AO370" s="132"/>
      <c r="AP370" s="132"/>
      <c r="AQ370" s="141"/>
      <c r="AR370" s="132"/>
      <c r="AS370" s="132"/>
      <c r="AT370" s="47"/>
      <c r="AU370" s="7"/>
      <c r="AV370" s="134"/>
      <c r="AW370" s="132"/>
      <c r="AX370" s="132"/>
      <c r="AY370" s="132"/>
      <c r="AZ370" s="132"/>
      <c r="BA370" s="10"/>
      <c r="BB370" s="134"/>
      <c r="BC370" s="132"/>
      <c r="BD370" s="132"/>
      <c r="BE370" s="132"/>
      <c r="BF370" s="132"/>
      <c r="BG370" s="11"/>
      <c r="BH370" s="134"/>
      <c r="BI370" s="132"/>
      <c r="BJ370" s="132"/>
      <c r="BK370" s="132"/>
      <c r="BL370" s="132"/>
    </row>
    <row r="371" customFormat="false" ht="13.8" hidden="false" customHeight="false" outlineLevel="0" collapsed="false">
      <c r="A371" s="140"/>
      <c r="B371" s="140"/>
      <c r="C371" s="168"/>
      <c r="D371" s="132"/>
      <c r="E371" s="132"/>
      <c r="F371" s="132"/>
      <c r="G371" s="132"/>
      <c r="H371" s="132"/>
      <c r="I371" s="132"/>
      <c r="J371" s="132"/>
      <c r="K371" s="132"/>
      <c r="L371" s="132"/>
      <c r="M371" s="132"/>
      <c r="N371" s="140"/>
      <c r="O371" s="132"/>
      <c r="P371" s="132"/>
      <c r="Q371" s="132"/>
      <c r="R371" s="132"/>
      <c r="S371" s="132"/>
      <c r="T371" s="132"/>
      <c r="U371" s="132"/>
      <c r="V371" s="132"/>
      <c r="W371" s="132"/>
      <c r="X371" s="132"/>
      <c r="Y371" s="132"/>
      <c r="Z371" s="132"/>
      <c r="AA371" s="132"/>
      <c r="AB371" s="132"/>
      <c r="AC371" s="132"/>
      <c r="AD371" s="132"/>
      <c r="AE371" s="132"/>
      <c r="AF371" s="132"/>
      <c r="AG371" s="132"/>
      <c r="AH371" s="132"/>
      <c r="AI371" s="132"/>
      <c r="AJ371" s="132"/>
      <c r="AK371" s="132"/>
      <c r="AL371" s="132"/>
      <c r="AM371" s="132"/>
      <c r="AN371" s="132"/>
      <c r="AO371" s="132"/>
      <c r="AP371" s="132"/>
      <c r="AQ371" s="141"/>
      <c r="AR371" s="132"/>
      <c r="AS371" s="132"/>
      <c r="AT371" s="47"/>
      <c r="AU371" s="7"/>
      <c r="AV371" s="134"/>
      <c r="AW371" s="132"/>
      <c r="AX371" s="132"/>
      <c r="AY371" s="132"/>
      <c r="AZ371" s="132"/>
      <c r="BA371" s="10"/>
      <c r="BB371" s="134"/>
      <c r="BC371" s="132"/>
      <c r="BD371" s="132"/>
      <c r="BE371" s="132"/>
      <c r="BF371" s="132"/>
      <c r="BG371" s="11"/>
      <c r="BH371" s="134"/>
      <c r="BI371" s="132"/>
      <c r="BJ371" s="132"/>
      <c r="BK371" s="132"/>
      <c r="BL371" s="132"/>
    </row>
    <row r="372" customFormat="false" ht="13.8" hidden="false" customHeight="false" outlineLevel="0" collapsed="false">
      <c r="A372" s="140"/>
      <c r="B372" s="140"/>
      <c r="C372" s="168"/>
      <c r="D372" s="132"/>
      <c r="E372" s="132"/>
      <c r="F372" s="132"/>
      <c r="G372" s="132"/>
      <c r="H372" s="132"/>
      <c r="I372" s="132"/>
      <c r="J372" s="132"/>
      <c r="K372" s="132"/>
      <c r="L372" s="132"/>
      <c r="M372" s="132"/>
      <c r="N372" s="140"/>
      <c r="O372" s="132"/>
      <c r="P372" s="132"/>
      <c r="Q372" s="132"/>
      <c r="R372" s="132"/>
      <c r="S372" s="132"/>
      <c r="T372" s="132"/>
      <c r="U372" s="132"/>
      <c r="V372" s="132"/>
      <c r="W372" s="132"/>
      <c r="X372" s="132"/>
      <c r="Y372" s="132"/>
      <c r="Z372" s="132"/>
      <c r="AA372" s="132"/>
      <c r="AB372" s="132"/>
      <c r="AC372" s="132"/>
      <c r="AD372" s="132"/>
      <c r="AE372" s="132"/>
      <c r="AF372" s="132"/>
      <c r="AG372" s="132"/>
      <c r="AH372" s="132"/>
      <c r="AI372" s="132"/>
      <c r="AJ372" s="132"/>
      <c r="AK372" s="132"/>
      <c r="AL372" s="132"/>
      <c r="AM372" s="132"/>
      <c r="AN372" s="132"/>
      <c r="AO372" s="132"/>
      <c r="AP372" s="132"/>
      <c r="AQ372" s="141"/>
      <c r="AR372" s="132"/>
      <c r="AS372" s="132"/>
      <c r="AT372" s="47"/>
      <c r="AU372" s="7"/>
      <c r="AV372" s="134"/>
      <c r="AW372" s="132"/>
      <c r="AX372" s="132"/>
      <c r="AY372" s="132"/>
      <c r="AZ372" s="132"/>
      <c r="BA372" s="10"/>
      <c r="BB372" s="134"/>
      <c r="BC372" s="132"/>
      <c r="BD372" s="132"/>
      <c r="BE372" s="132"/>
      <c r="BF372" s="132"/>
      <c r="BG372" s="11"/>
      <c r="BH372" s="134"/>
      <c r="BI372" s="132"/>
      <c r="BJ372" s="132"/>
      <c r="BK372" s="132"/>
      <c r="BL372" s="132"/>
    </row>
    <row r="373" customFormat="false" ht="13.8" hidden="false" customHeight="false" outlineLevel="0" collapsed="false">
      <c r="A373" s="140"/>
      <c r="B373" s="140"/>
      <c r="C373" s="168"/>
      <c r="D373" s="132"/>
      <c r="E373" s="132"/>
      <c r="F373" s="132"/>
      <c r="G373" s="132"/>
      <c r="H373" s="132"/>
      <c r="I373" s="132"/>
      <c r="J373" s="132"/>
      <c r="K373" s="132"/>
      <c r="L373" s="132"/>
      <c r="M373" s="132"/>
      <c r="N373" s="140"/>
      <c r="O373" s="132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  <c r="AB373" s="132"/>
      <c r="AC373" s="132"/>
      <c r="AD373" s="132"/>
      <c r="AE373" s="132"/>
      <c r="AF373" s="132"/>
      <c r="AG373" s="132"/>
      <c r="AH373" s="132"/>
      <c r="AI373" s="132"/>
      <c r="AJ373" s="132"/>
      <c r="AK373" s="132"/>
      <c r="AL373" s="132"/>
      <c r="AM373" s="132"/>
      <c r="AN373" s="132"/>
      <c r="AO373" s="132"/>
      <c r="AP373" s="132"/>
      <c r="AQ373" s="141"/>
      <c r="AR373" s="132"/>
      <c r="AS373" s="132"/>
      <c r="AT373" s="47"/>
      <c r="AU373" s="7"/>
      <c r="AV373" s="134"/>
      <c r="AW373" s="132"/>
      <c r="AX373" s="132"/>
      <c r="AY373" s="132"/>
      <c r="AZ373" s="132"/>
      <c r="BA373" s="10"/>
      <c r="BB373" s="134"/>
      <c r="BC373" s="132"/>
      <c r="BD373" s="132"/>
      <c r="BE373" s="132"/>
      <c r="BF373" s="132"/>
      <c r="BG373" s="11"/>
      <c r="BH373" s="134"/>
      <c r="BI373" s="132"/>
      <c r="BJ373" s="132"/>
      <c r="BK373" s="132"/>
      <c r="BL373" s="132"/>
    </row>
    <row r="374" customFormat="false" ht="13.8" hidden="false" customHeight="false" outlineLevel="0" collapsed="false">
      <c r="A374" s="140"/>
      <c r="B374" s="140"/>
      <c r="C374" s="168"/>
      <c r="D374" s="132"/>
      <c r="E374" s="132"/>
      <c r="F374" s="132"/>
      <c r="G374" s="132"/>
      <c r="H374" s="132"/>
      <c r="I374" s="132"/>
      <c r="J374" s="132"/>
      <c r="K374" s="132"/>
      <c r="L374" s="132"/>
      <c r="M374" s="132"/>
      <c r="N374" s="140"/>
      <c r="O374" s="132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  <c r="AA374" s="132"/>
      <c r="AB374" s="132"/>
      <c r="AC374" s="132"/>
      <c r="AD374" s="132"/>
      <c r="AE374" s="132"/>
      <c r="AF374" s="132"/>
      <c r="AG374" s="132"/>
      <c r="AH374" s="132"/>
      <c r="AI374" s="132"/>
      <c r="AJ374" s="132"/>
      <c r="AK374" s="132"/>
      <c r="AL374" s="132"/>
      <c r="AM374" s="132"/>
      <c r="AN374" s="132"/>
      <c r="AO374" s="132"/>
      <c r="AP374" s="132"/>
      <c r="AQ374" s="141"/>
      <c r="AR374" s="132"/>
      <c r="AS374" s="132"/>
      <c r="AT374" s="47"/>
      <c r="AU374" s="7"/>
      <c r="AV374" s="134"/>
      <c r="AW374" s="132"/>
      <c r="AX374" s="132"/>
      <c r="AY374" s="132"/>
      <c r="AZ374" s="132"/>
      <c r="BA374" s="10"/>
      <c r="BB374" s="134"/>
      <c r="BC374" s="132"/>
      <c r="BD374" s="132"/>
      <c r="BE374" s="132"/>
      <c r="BF374" s="132"/>
      <c r="BG374" s="11"/>
      <c r="BH374" s="134"/>
      <c r="BI374" s="132"/>
      <c r="BJ374" s="132"/>
      <c r="BK374" s="132"/>
      <c r="BL374" s="132"/>
    </row>
    <row r="375" customFormat="false" ht="13.8" hidden="false" customHeight="false" outlineLevel="0" collapsed="false">
      <c r="A375" s="140"/>
      <c r="B375" s="140"/>
      <c r="C375" s="168"/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  <c r="N375" s="140"/>
      <c r="O375" s="132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/>
      <c r="AB375" s="132"/>
      <c r="AC375" s="132"/>
      <c r="AD375" s="132"/>
      <c r="AE375" s="132"/>
      <c r="AF375" s="132"/>
      <c r="AG375" s="132"/>
      <c r="AH375" s="132"/>
      <c r="AI375" s="132"/>
      <c r="AJ375" s="132"/>
      <c r="AK375" s="132"/>
      <c r="AL375" s="132"/>
      <c r="AM375" s="132"/>
      <c r="AN375" s="132"/>
      <c r="AO375" s="132"/>
      <c r="AP375" s="132"/>
      <c r="AQ375" s="141"/>
      <c r="AR375" s="132"/>
      <c r="AS375" s="132"/>
      <c r="AT375" s="47"/>
      <c r="AU375" s="7"/>
      <c r="AV375" s="134"/>
      <c r="AW375" s="132"/>
      <c r="AX375" s="132"/>
      <c r="AY375" s="132"/>
      <c r="AZ375" s="132"/>
      <c r="BA375" s="10"/>
      <c r="BB375" s="134"/>
      <c r="BC375" s="132"/>
      <c r="BD375" s="132"/>
      <c r="BE375" s="132"/>
      <c r="BF375" s="132"/>
      <c r="BG375" s="11"/>
      <c r="BH375" s="134"/>
      <c r="BI375" s="132"/>
      <c r="BJ375" s="132"/>
      <c r="BK375" s="132"/>
      <c r="BL375" s="132"/>
    </row>
    <row r="376" customFormat="false" ht="13.8" hidden="false" customHeight="false" outlineLevel="0" collapsed="false">
      <c r="A376" s="140"/>
      <c r="B376" s="140"/>
      <c r="C376" s="168"/>
      <c r="D376" s="132"/>
      <c r="E376" s="132"/>
      <c r="F376" s="132"/>
      <c r="G376" s="132"/>
      <c r="H376" s="132"/>
      <c r="I376" s="132"/>
      <c r="J376" s="132"/>
      <c r="K376" s="132"/>
      <c r="L376" s="132"/>
      <c r="M376" s="132"/>
      <c r="N376" s="140"/>
      <c r="O376" s="132"/>
      <c r="P376" s="132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  <c r="AA376" s="132"/>
      <c r="AB376" s="132"/>
      <c r="AC376" s="132"/>
      <c r="AD376" s="132"/>
      <c r="AE376" s="132"/>
      <c r="AF376" s="132"/>
      <c r="AG376" s="132"/>
      <c r="AH376" s="132"/>
      <c r="AI376" s="132"/>
      <c r="AJ376" s="132"/>
      <c r="AK376" s="132"/>
      <c r="AL376" s="132"/>
      <c r="AM376" s="132"/>
      <c r="AN376" s="132"/>
      <c r="AO376" s="132"/>
      <c r="AP376" s="132"/>
      <c r="AQ376" s="141"/>
      <c r="AR376" s="132"/>
      <c r="AS376" s="132"/>
      <c r="AT376" s="47"/>
      <c r="AU376" s="7"/>
      <c r="AV376" s="134"/>
      <c r="AW376" s="132"/>
      <c r="AX376" s="132"/>
      <c r="AY376" s="132"/>
      <c r="AZ376" s="132"/>
      <c r="BA376" s="10"/>
      <c r="BB376" s="134"/>
      <c r="BC376" s="132"/>
      <c r="BD376" s="132"/>
      <c r="BE376" s="132"/>
      <c r="BF376" s="132"/>
      <c r="BG376" s="11"/>
      <c r="BH376" s="134"/>
      <c r="BI376" s="132"/>
      <c r="BJ376" s="132"/>
      <c r="BK376" s="132"/>
      <c r="BL376" s="132"/>
    </row>
    <row r="377" customFormat="false" ht="13.8" hidden="false" customHeight="false" outlineLevel="0" collapsed="false">
      <c r="A377" s="140"/>
      <c r="B377" s="140"/>
      <c r="C377" s="168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40"/>
      <c r="O377" s="132"/>
      <c r="P377" s="132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  <c r="AA377" s="132"/>
      <c r="AB377" s="132"/>
      <c r="AC377" s="132"/>
      <c r="AD377" s="132"/>
      <c r="AE377" s="132"/>
      <c r="AF377" s="132"/>
      <c r="AG377" s="132"/>
      <c r="AH377" s="132"/>
      <c r="AI377" s="132"/>
      <c r="AJ377" s="132"/>
      <c r="AK377" s="132"/>
      <c r="AL377" s="132"/>
      <c r="AM377" s="132"/>
      <c r="AN377" s="132"/>
      <c r="AO377" s="132"/>
      <c r="AP377" s="132"/>
      <c r="AQ377" s="141"/>
      <c r="AR377" s="132"/>
      <c r="AS377" s="132"/>
      <c r="AT377" s="47"/>
      <c r="AU377" s="7"/>
      <c r="AV377" s="134"/>
      <c r="AW377" s="132"/>
      <c r="AX377" s="132"/>
      <c r="AY377" s="132"/>
      <c r="AZ377" s="132"/>
      <c r="BA377" s="10"/>
      <c r="BB377" s="134"/>
      <c r="BC377" s="132"/>
      <c r="BD377" s="132"/>
      <c r="BE377" s="132"/>
      <c r="BF377" s="132"/>
      <c r="BG377" s="11"/>
      <c r="BH377" s="134"/>
      <c r="BI377" s="132"/>
      <c r="BJ377" s="132"/>
      <c r="BK377" s="132"/>
      <c r="BL377" s="132"/>
    </row>
    <row r="378" customFormat="false" ht="13.8" hidden="false" customHeight="false" outlineLevel="0" collapsed="false">
      <c r="A378" s="140"/>
      <c r="B378" s="140"/>
      <c r="C378" s="168"/>
      <c r="D378" s="132"/>
      <c r="E378" s="132"/>
      <c r="F378" s="132"/>
      <c r="G378" s="132"/>
      <c r="H378" s="132"/>
      <c r="I378" s="132"/>
      <c r="J378" s="132"/>
      <c r="K378" s="132"/>
      <c r="L378" s="132"/>
      <c r="M378" s="132"/>
      <c r="N378" s="140"/>
      <c r="O378" s="132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  <c r="AA378" s="132"/>
      <c r="AB378" s="132"/>
      <c r="AC378" s="132"/>
      <c r="AD378" s="132"/>
      <c r="AE378" s="132"/>
      <c r="AF378" s="132"/>
      <c r="AG378" s="132"/>
      <c r="AH378" s="132"/>
      <c r="AI378" s="132"/>
      <c r="AJ378" s="132"/>
      <c r="AK378" s="132"/>
      <c r="AL378" s="132"/>
      <c r="AM378" s="132"/>
      <c r="AN378" s="132"/>
      <c r="AO378" s="132"/>
      <c r="AP378" s="132"/>
      <c r="AQ378" s="141"/>
      <c r="AR378" s="132"/>
      <c r="AS378" s="132"/>
      <c r="AT378" s="47"/>
      <c r="AU378" s="7"/>
      <c r="AV378" s="134"/>
      <c r="AW378" s="132"/>
      <c r="AX378" s="132"/>
      <c r="AY378" s="132"/>
      <c r="AZ378" s="132"/>
      <c r="BA378" s="10"/>
      <c r="BB378" s="134"/>
      <c r="BC378" s="132"/>
      <c r="BD378" s="132"/>
      <c r="BE378" s="132"/>
      <c r="BF378" s="132"/>
      <c r="BG378" s="11"/>
      <c r="BH378" s="134"/>
      <c r="BI378" s="132"/>
      <c r="BJ378" s="132"/>
      <c r="BK378" s="132"/>
      <c r="BL378" s="132"/>
    </row>
    <row r="379" customFormat="false" ht="13.8" hidden="false" customHeight="false" outlineLevel="0" collapsed="false">
      <c r="A379" s="140"/>
      <c r="B379" s="140"/>
      <c r="C379" s="168"/>
      <c r="D379" s="132"/>
      <c r="E379" s="132"/>
      <c r="F379" s="132"/>
      <c r="G379" s="132"/>
      <c r="H379" s="132"/>
      <c r="I379" s="132"/>
      <c r="J379" s="132"/>
      <c r="K379" s="132"/>
      <c r="L379" s="132"/>
      <c r="M379" s="132"/>
      <c r="N379" s="140"/>
      <c r="O379" s="132"/>
      <c r="P379" s="132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  <c r="AA379" s="132"/>
      <c r="AB379" s="132"/>
      <c r="AC379" s="132"/>
      <c r="AD379" s="132"/>
      <c r="AE379" s="132"/>
      <c r="AF379" s="132"/>
      <c r="AG379" s="132"/>
      <c r="AH379" s="132"/>
      <c r="AI379" s="132"/>
      <c r="AJ379" s="132"/>
      <c r="AK379" s="132"/>
      <c r="AL379" s="132"/>
      <c r="AM379" s="132"/>
      <c r="AN379" s="132"/>
      <c r="AO379" s="132"/>
      <c r="AP379" s="132"/>
      <c r="AQ379" s="141"/>
      <c r="AR379" s="132"/>
      <c r="AS379" s="132"/>
      <c r="AT379" s="47"/>
      <c r="AU379" s="7"/>
      <c r="AV379" s="134"/>
      <c r="AW379" s="132"/>
      <c r="AX379" s="132"/>
      <c r="AY379" s="132"/>
      <c r="AZ379" s="132"/>
      <c r="BA379" s="10"/>
      <c r="BB379" s="134"/>
      <c r="BC379" s="132"/>
      <c r="BD379" s="132"/>
      <c r="BE379" s="132"/>
      <c r="BF379" s="132"/>
      <c r="BG379" s="11"/>
      <c r="BH379" s="134"/>
      <c r="BI379" s="132"/>
      <c r="BJ379" s="132"/>
      <c r="BK379" s="132"/>
      <c r="BL379" s="132"/>
    </row>
    <row r="380" customFormat="false" ht="13.8" hidden="false" customHeight="false" outlineLevel="0" collapsed="false">
      <c r="A380" s="140"/>
      <c r="B380" s="140"/>
      <c r="C380" s="168"/>
      <c r="D380" s="132"/>
      <c r="E380" s="132"/>
      <c r="F380" s="132"/>
      <c r="G380" s="132"/>
      <c r="H380" s="132"/>
      <c r="I380" s="132"/>
      <c r="J380" s="132"/>
      <c r="K380" s="132"/>
      <c r="L380" s="132"/>
      <c r="M380" s="132"/>
      <c r="N380" s="140"/>
      <c r="O380" s="132"/>
      <c r="P380" s="132"/>
      <c r="Q380" s="132"/>
      <c r="R380" s="132"/>
      <c r="S380" s="132"/>
      <c r="T380" s="132"/>
      <c r="U380" s="132"/>
      <c r="V380" s="132"/>
      <c r="W380" s="132"/>
      <c r="X380" s="132"/>
      <c r="Y380" s="132"/>
      <c r="Z380" s="132"/>
      <c r="AA380" s="132"/>
      <c r="AB380" s="132"/>
      <c r="AC380" s="132"/>
      <c r="AD380" s="132"/>
      <c r="AE380" s="132"/>
      <c r="AF380" s="132"/>
      <c r="AG380" s="132"/>
      <c r="AH380" s="132"/>
      <c r="AI380" s="132"/>
      <c r="AJ380" s="132"/>
      <c r="AK380" s="132"/>
      <c r="AL380" s="132"/>
      <c r="AM380" s="132"/>
      <c r="AN380" s="132"/>
      <c r="AO380" s="132"/>
      <c r="AP380" s="132"/>
      <c r="AQ380" s="141"/>
      <c r="AR380" s="132"/>
      <c r="AS380" s="132"/>
      <c r="AT380" s="47"/>
      <c r="AU380" s="7"/>
      <c r="AV380" s="134"/>
      <c r="AW380" s="132"/>
      <c r="AX380" s="132"/>
      <c r="AY380" s="132"/>
      <c r="AZ380" s="132"/>
      <c r="BA380" s="10"/>
      <c r="BB380" s="134"/>
      <c r="BC380" s="132"/>
      <c r="BD380" s="132"/>
      <c r="BE380" s="132"/>
      <c r="BF380" s="132"/>
      <c r="BG380" s="11"/>
      <c r="BH380" s="134"/>
      <c r="BI380" s="132"/>
      <c r="BJ380" s="132"/>
      <c r="BK380" s="132"/>
      <c r="BL380" s="132"/>
    </row>
    <row r="381" customFormat="false" ht="13.8" hidden="false" customHeight="false" outlineLevel="0" collapsed="false">
      <c r="A381" s="140"/>
      <c r="B381" s="140"/>
      <c r="C381" s="168"/>
      <c r="D381" s="132"/>
      <c r="E381" s="132"/>
      <c r="F381" s="132"/>
      <c r="G381" s="132"/>
      <c r="H381" s="132"/>
      <c r="I381" s="132"/>
      <c r="J381" s="132"/>
      <c r="K381" s="132"/>
      <c r="L381" s="132"/>
      <c r="M381" s="132"/>
      <c r="N381" s="140"/>
      <c r="O381" s="132"/>
      <c r="P381" s="132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  <c r="AA381" s="132"/>
      <c r="AB381" s="132"/>
      <c r="AC381" s="132"/>
      <c r="AD381" s="132"/>
      <c r="AE381" s="132"/>
      <c r="AF381" s="132"/>
      <c r="AG381" s="132"/>
      <c r="AH381" s="132"/>
      <c r="AI381" s="132"/>
      <c r="AJ381" s="132"/>
      <c r="AK381" s="132"/>
      <c r="AL381" s="132"/>
      <c r="AM381" s="132"/>
      <c r="AN381" s="132"/>
      <c r="AO381" s="132"/>
      <c r="AP381" s="132"/>
      <c r="AQ381" s="141"/>
      <c r="AR381" s="132"/>
      <c r="AS381" s="132"/>
      <c r="AT381" s="47"/>
      <c r="AU381" s="7"/>
      <c r="AV381" s="134"/>
      <c r="AW381" s="132"/>
      <c r="AX381" s="132"/>
      <c r="AY381" s="132"/>
      <c r="AZ381" s="132"/>
      <c r="BA381" s="10"/>
      <c r="BB381" s="134"/>
      <c r="BC381" s="132"/>
      <c r="BD381" s="132"/>
      <c r="BE381" s="132"/>
      <c r="BF381" s="132"/>
      <c r="BG381" s="11"/>
      <c r="BH381" s="134"/>
      <c r="BI381" s="132"/>
      <c r="BJ381" s="132"/>
      <c r="BK381" s="132"/>
      <c r="BL381" s="132"/>
    </row>
    <row r="382" customFormat="false" ht="13.8" hidden="false" customHeight="false" outlineLevel="0" collapsed="false">
      <c r="A382" s="140"/>
      <c r="B382" s="140"/>
      <c r="C382" s="168"/>
      <c r="D382" s="132"/>
      <c r="E382" s="132"/>
      <c r="F382" s="132"/>
      <c r="G382" s="132"/>
      <c r="H382" s="132"/>
      <c r="I382" s="132"/>
      <c r="J382" s="132"/>
      <c r="K382" s="132"/>
      <c r="L382" s="132"/>
      <c r="M382" s="132"/>
      <c r="N382" s="140"/>
      <c r="O382" s="132"/>
      <c r="P382" s="132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32"/>
      <c r="AE382" s="132"/>
      <c r="AF382" s="132"/>
      <c r="AG382" s="132"/>
      <c r="AH382" s="132"/>
      <c r="AI382" s="132"/>
      <c r="AJ382" s="132"/>
      <c r="AK382" s="132"/>
      <c r="AL382" s="132"/>
      <c r="AM382" s="132"/>
      <c r="AN382" s="132"/>
      <c r="AO382" s="132"/>
      <c r="AP382" s="132"/>
      <c r="AQ382" s="141"/>
      <c r="AR382" s="132"/>
      <c r="AS382" s="132"/>
      <c r="AT382" s="47"/>
      <c r="AU382" s="7"/>
      <c r="AV382" s="134"/>
      <c r="AW382" s="132"/>
      <c r="AX382" s="132"/>
      <c r="AY382" s="132"/>
      <c r="AZ382" s="132"/>
      <c r="BA382" s="10"/>
      <c r="BB382" s="134"/>
      <c r="BC382" s="132"/>
      <c r="BD382" s="132"/>
      <c r="BE382" s="132"/>
      <c r="BF382" s="132"/>
      <c r="BG382" s="11"/>
      <c r="BH382" s="134"/>
      <c r="BI382" s="132"/>
      <c r="BJ382" s="132"/>
      <c r="BK382" s="132"/>
      <c r="BL382" s="132"/>
    </row>
    <row r="383" customFormat="false" ht="13.8" hidden="false" customHeight="false" outlineLevel="0" collapsed="false">
      <c r="A383" s="140"/>
      <c r="B383" s="140"/>
      <c r="C383" s="168"/>
      <c r="D383" s="132"/>
      <c r="E383" s="132"/>
      <c r="F383" s="132"/>
      <c r="G383" s="132"/>
      <c r="H383" s="132"/>
      <c r="I383" s="132"/>
      <c r="J383" s="132"/>
      <c r="K383" s="132"/>
      <c r="L383" s="132"/>
      <c r="M383" s="132"/>
      <c r="N383" s="140"/>
      <c r="O383" s="132"/>
      <c r="P383" s="132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  <c r="AA383" s="132"/>
      <c r="AB383" s="132"/>
      <c r="AC383" s="132"/>
      <c r="AD383" s="132"/>
      <c r="AE383" s="132"/>
      <c r="AF383" s="132"/>
      <c r="AG383" s="132"/>
      <c r="AH383" s="132"/>
      <c r="AI383" s="132"/>
      <c r="AJ383" s="132"/>
      <c r="AK383" s="132"/>
      <c r="AL383" s="132"/>
      <c r="AM383" s="132"/>
      <c r="AN383" s="132"/>
      <c r="AO383" s="132"/>
      <c r="AP383" s="132"/>
      <c r="AQ383" s="141"/>
      <c r="AR383" s="132"/>
      <c r="AS383" s="132"/>
      <c r="AT383" s="47"/>
      <c r="AU383" s="7"/>
      <c r="AV383" s="134"/>
      <c r="AW383" s="132"/>
      <c r="AX383" s="132"/>
      <c r="AY383" s="132"/>
      <c r="AZ383" s="132"/>
      <c r="BA383" s="10"/>
      <c r="BB383" s="134"/>
      <c r="BC383" s="132"/>
      <c r="BD383" s="132"/>
      <c r="BE383" s="132"/>
      <c r="BF383" s="132"/>
      <c r="BG383" s="11"/>
      <c r="BH383" s="134"/>
      <c r="BI383" s="132"/>
      <c r="BJ383" s="132"/>
      <c r="BK383" s="132"/>
      <c r="BL383" s="132"/>
    </row>
    <row r="384" customFormat="false" ht="13.8" hidden="false" customHeight="false" outlineLevel="0" collapsed="false">
      <c r="A384" s="140"/>
      <c r="B384" s="140"/>
      <c r="C384" s="168"/>
      <c r="D384" s="132"/>
      <c r="E384" s="132"/>
      <c r="F384" s="132"/>
      <c r="G384" s="132"/>
      <c r="H384" s="132"/>
      <c r="I384" s="132"/>
      <c r="J384" s="132"/>
      <c r="K384" s="132"/>
      <c r="L384" s="132"/>
      <c r="M384" s="132"/>
      <c r="N384" s="140"/>
      <c r="O384" s="132"/>
      <c r="P384" s="132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  <c r="AA384" s="132"/>
      <c r="AB384" s="132"/>
      <c r="AC384" s="132"/>
      <c r="AD384" s="132"/>
      <c r="AE384" s="132"/>
      <c r="AF384" s="132"/>
      <c r="AG384" s="132"/>
      <c r="AH384" s="132"/>
      <c r="AI384" s="132"/>
      <c r="AJ384" s="132"/>
      <c r="AK384" s="132"/>
      <c r="AL384" s="132"/>
      <c r="AM384" s="132"/>
      <c r="AN384" s="132"/>
      <c r="AO384" s="132"/>
      <c r="AP384" s="132"/>
      <c r="AQ384" s="141"/>
      <c r="AR384" s="132"/>
      <c r="AS384" s="132"/>
      <c r="AT384" s="47"/>
      <c r="AU384" s="7"/>
      <c r="AV384" s="134"/>
      <c r="AW384" s="132"/>
      <c r="AX384" s="132"/>
      <c r="AY384" s="132"/>
      <c r="AZ384" s="132"/>
      <c r="BA384" s="10"/>
      <c r="BB384" s="134"/>
      <c r="BC384" s="132"/>
      <c r="BD384" s="132"/>
      <c r="BE384" s="132"/>
      <c r="BF384" s="132"/>
      <c r="BG384" s="11"/>
      <c r="BH384" s="134"/>
      <c r="BI384" s="132"/>
      <c r="BJ384" s="132"/>
      <c r="BK384" s="132"/>
      <c r="BL384" s="132"/>
    </row>
    <row r="385" customFormat="false" ht="13.8" hidden="false" customHeight="false" outlineLevel="0" collapsed="false">
      <c r="A385" s="140"/>
      <c r="B385" s="140"/>
      <c r="C385" s="168"/>
      <c r="D385" s="132"/>
      <c r="E385" s="132"/>
      <c r="F385" s="132"/>
      <c r="G385" s="132"/>
      <c r="H385" s="132"/>
      <c r="I385" s="132"/>
      <c r="J385" s="132"/>
      <c r="K385" s="132"/>
      <c r="L385" s="132"/>
      <c r="M385" s="132"/>
      <c r="N385" s="140"/>
      <c r="O385" s="132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  <c r="AF385" s="132"/>
      <c r="AG385" s="132"/>
      <c r="AH385" s="132"/>
      <c r="AI385" s="132"/>
      <c r="AJ385" s="132"/>
      <c r="AK385" s="132"/>
      <c r="AL385" s="132"/>
      <c r="AM385" s="132"/>
      <c r="AN385" s="132"/>
      <c r="AO385" s="132"/>
      <c r="AP385" s="132"/>
      <c r="AQ385" s="141"/>
      <c r="AR385" s="132"/>
      <c r="AS385" s="132"/>
      <c r="AT385" s="47"/>
      <c r="AU385" s="7"/>
      <c r="AV385" s="134"/>
      <c r="AW385" s="132"/>
      <c r="AX385" s="132"/>
      <c r="AY385" s="132"/>
      <c r="AZ385" s="132"/>
      <c r="BA385" s="10"/>
      <c r="BB385" s="134"/>
      <c r="BC385" s="132"/>
      <c r="BD385" s="132"/>
      <c r="BE385" s="132"/>
      <c r="BF385" s="132"/>
      <c r="BG385" s="11"/>
      <c r="BH385" s="134"/>
      <c r="BI385" s="132"/>
      <c r="BJ385" s="132"/>
      <c r="BK385" s="132"/>
      <c r="BL385" s="132"/>
    </row>
    <row r="386" customFormat="false" ht="13.8" hidden="false" customHeight="false" outlineLevel="0" collapsed="false">
      <c r="A386" s="140"/>
      <c r="B386" s="140"/>
      <c r="C386" s="168"/>
      <c r="D386" s="132"/>
      <c r="E386" s="132"/>
      <c r="F386" s="132"/>
      <c r="G386" s="132"/>
      <c r="H386" s="132"/>
      <c r="I386" s="132"/>
      <c r="J386" s="132"/>
      <c r="K386" s="132"/>
      <c r="L386" s="132"/>
      <c r="M386" s="132"/>
      <c r="N386" s="140"/>
      <c r="O386" s="132"/>
      <c r="P386" s="132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  <c r="AA386" s="132"/>
      <c r="AB386" s="132"/>
      <c r="AC386" s="132"/>
      <c r="AD386" s="132"/>
      <c r="AE386" s="132"/>
      <c r="AF386" s="132"/>
      <c r="AG386" s="132"/>
      <c r="AH386" s="132"/>
      <c r="AI386" s="132"/>
      <c r="AJ386" s="132"/>
      <c r="AK386" s="132"/>
      <c r="AL386" s="132"/>
      <c r="AM386" s="132"/>
      <c r="AN386" s="132"/>
      <c r="AO386" s="132"/>
      <c r="AP386" s="132"/>
      <c r="AQ386" s="141"/>
      <c r="AR386" s="132"/>
      <c r="AS386" s="132"/>
      <c r="AT386" s="47"/>
      <c r="AU386" s="7"/>
      <c r="AV386" s="134"/>
      <c r="AW386" s="132"/>
      <c r="AX386" s="132"/>
      <c r="AY386" s="132"/>
      <c r="AZ386" s="132"/>
      <c r="BA386" s="10"/>
      <c r="BB386" s="134"/>
      <c r="BC386" s="132"/>
      <c r="BD386" s="132"/>
      <c r="BE386" s="132"/>
      <c r="BF386" s="132"/>
      <c r="BG386" s="11"/>
      <c r="BH386" s="134"/>
      <c r="BI386" s="132"/>
      <c r="BJ386" s="132"/>
      <c r="BK386" s="132"/>
      <c r="BL386" s="132"/>
    </row>
    <row r="387" customFormat="false" ht="13.8" hidden="false" customHeight="false" outlineLevel="0" collapsed="false">
      <c r="A387" s="140"/>
      <c r="B387" s="140"/>
      <c r="C387" s="168"/>
      <c r="D387" s="132"/>
      <c r="E387" s="132"/>
      <c r="F387" s="132"/>
      <c r="G387" s="132"/>
      <c r="H387" s="132"/>
      <c r="I387" s="132"/>
      <c r="J387" s="132"/>
      <c r="K387" s="132"/>
      <c r="L387" s="132"/>
      <c r="M387" s="132"/>
      <c r="N387" s="140"/>
      <c r="O387" s="132"/>
      <c r="P387" s="132"/>
      <c r="Q387" s="132"/>
      <c r="R387" s="132"/>
      <c r="S387" s="132"/>
      <c r="T387" s="132"/>
      <c r="U387" s="132"/>
      <c r="V387" s="132"/>
      <c r="W387" s="132"/>
      <c r="X387" s="132"/>
      <c r="Y387" s="132"/>
      <c r="Z387" s="132"/>
      <c r="AA387" s="132"/>
      <c r="AB387" s="132"/>
      <c r="AC387" s="132"/>
      <c r="AD387" s="132"/>
      <c r="AE387" s="132"/>
      <c r="AF387" s="132"/>
      <c r="AG387" s="132"/>
      <c r="AH387" s="132"/>
      <c r="AI387" s="132"/>
      <c r="AJ387" s="132"/>
      <c r="AK387" s="132"/>
      <c r="AL387" s="132"/>
      <c r="AM387" s="132"/>
      <c r="AN387" s="132"/>
      <c r="AO387" s="132"/>
      <c r="AP387" s="132"/>
      <c r="AQ387" s="141"/>
      <c r="AR387" s="132"/>
      <c r="AS387" s="132"/>
      <c r="AT387" s="47"/>
      <c r="AU387" s="7"/>
      <c r="AV387" s="134"/>
      <c r="AW387" s="132"/>
      <c r="AX387" s="132"/>
      <c r="AY387" s="132"/>
      <c r="AZ387" s="132"/>
      <c r="BA387" s="10"/>
      <c r="BB387" s="134"/>
      <c r="BC387" s="132"/>
      <c r="BD387" s="132"/>
      <c r="BE387" s="132"/>
      <c r="BF387" s="132"/>
      <c r="BG387" s="11"/>
      <c r="BH387" s="134"/>
      <c r="BI387" s="132"/>
      <c r="BJ387" s="132"/>
      <c r="BK387" s="132"/>
      <c r="BL387" s="132"/>
    </row>
    <row r="388" customFormat="false" ht="13.8" hidden="false" customHeight="false" outlineLevel="0" collapsed="false">
      <c r="A388" s="140"/>
      <c r="B388" s="140"/>
      <c r="C388" s="168"/>
      <c r="D388" s="132"/>
      <c r="E388" s="132"/>
      <c r="F388" s="132"/>
      <c r="G388" s="132"/>
      <c r="H388" s="132"/>
      <c r="I388" s="132"/>
      <c r="J388" s="132"/>
      <c r="K388" s="132"/>
      <c r="L388" s="132"/>
      <c r="M388" s="132"/>
      <c r="N388" s="140"/>
      <c r="O388" s="132"/>
      <c r="P388" s="132"/>
      <c r="Q388" s="132"/>
      <c r="R388" s="132"/>
      <c r="S388" s="132"/>
      <c r="T388" s="132"/>
      <c r="U388" s="132"/>
      <c r="V388" s="132"/>
      <c r="W388" s="132"/>
      <c r="X388" s="132"/>
      <c r="Y388" s="132"/>
      <c r="Z388" s="132"/>
      <c r="AA388" s="132"/>
      <c r="AB388" s="132"/>
      <c r="AC388" s="132"/>
      <c r="AD388" s="132"/>
      <c r="AE388" s="132"/>
      <c r="AF388" s="132"/>
      <c r="AG388" s="132"/>
      <c r="AH388" s="132"/>
      <c r="AI388" s="132"/>
      <c r="AJ388" s="132"/>
      <c r="AK388" s="132"/>
      <c r="AL388" s="132"/>
      <c r="AM388" s="132"/>
      <c r="AN388" s="132"/>
      <c r="AO388" s="132"/>
      <c r="AP388" s="132"/>
      <c r="AQ388" s="141"/>
      <c r="AR388" s="132"/>
      <c r="AS388" s="132"/>
      <c r="AT388" s="47"/>
      <c r="AU388" s="7"/>
      <c r="AV388" s="134"/>
      <c r="AW388" s="132"/>
      <c r="AX388" s="132"/>
      <c r="AY388" s="132"/>
      <c r="AZ388" s="132"/>
      <c r="BA388" s="10"/>
      <c r="BB388" s="134"/>
      <c r="BC388" s="132"/>
      <c r="BD388" s="132"/>
      <c r="BE388" s="132"/>
      <c r="BF388" s="132"/>
      <c r="BG388" s="11"/>
      <c r="BH388" s="134"/>
      <c r="BI388" s="132"/>
      <c r="BJ388" s="132"/>
      <c r="BK388" s="132"/>
      <c r="BL388" s="132"/>
    </row>
    <row r="389" customFormat="false" ht="13.8" hidden="false" customHeight="false" outlineLevel="0" collapsed="false">
      <c r="A389" s="140"/>
      <c r="B389" s="140"/>
      <c r="C389" s="168"/>
      <c r="D389" s="132"/>
      <c r="E389" s="132"/>
      <c r="F389" s="132"/>
      <c r="G389" s="132"/>
      <c r="H389" s="132"/>
      <c r="I389" s="132"/>
      <c r="J389" s="132"/>
      <c r="K389" s="132"/>
      <c r="L389" s="132"/>
      <c r="M389" s="132"/>
      <c r="N389" s="140"/>
      <c r="O389" s="132"/>
      <c r="P389" s="132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  <c r="AA389" s="132"/>
      <c r="AB389" s="132"/>
      <c r="AC389" s="132"/>
      <c r="AD389" s="132"/>
      <c r="AE389" s="132"/>
      <c r="AF389" s="132"/>
      <c r="AG389" s="132"/>
      <c r="AH389" s="132"/>
      <c r="AI389" s="132"/>
      <c r="AJ389" s="132"/>
      <c r="AK389" s="132"/>
      <c r="AL389" s="132"/>
      <c r="AM389" s="132"/>
      <c r="AN389" s="132"/>
      <c r="AO389" s="132"/>
      <c r="AP389" s="132"/>
      <c r="AQ389" s="141"/>
      <c r="AR389" s="132"/>
      <c r="AS389" s="132"/>
      <c r="AT389" s="47"/>
      <c r="AU389" s="7"/>
      <c r="AV389" s="134"/>
      <c r="AW389" s="132"/>
      <c r="AX389" s="132"/>
      <c r="AY389" s="132"/>
      <c r="AZ389" s="132"/>
      <c r="BA389" s="10"/>
      <c r="BB389" s="134"/>
      <c r="BC389" s="132"/>
      <c r="BD389" s="132"/>
      <c r="BE389" s="132"/>
      <c r="BF389" s="132"/>
      <c r="BG389" s="11"/>
      <c r="BH389" s="134"/>
      <c r="BI389" s="132"/>
      <c r="BJ389" s="132"/>
      <c r="BK389" s="132"/>
      <c r="BL389" s="132"/>
    </row>
    <row r="390" customFormat="false" ht="13.8" hidden="false" customHeight="false" outlineLevel="0" collapsed="false">
      <c r="A390" s="140"/>
      <c r="B390" s="140"/>
      <c r="C390" s="168"/>
      <c r="D390" s="132"/>
      <c r="E390" s="132"/>
      <c r="F390" s="132"/>
      <c r="G390" s="132"/>
      <c r="H390" s="132"/>
      <c r="I390" s="132"/>
      <c r="J390" s="132"/>
      <c r="K390" s="132"/>
      <c r="L390" s="132"/>
      <c r="M390" s="132"/>
      <c r="N390" s="140"/>
      <c r="O390" s="132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  <c r="AA390" s="132"/>
      <c r="AB390" s="132"/>
      <c r="AC390" s="132"/>
      <c r="AD390" s="132"/>
      <c r="AE390" s="132"/>
      <c r="AF390" s="132"/>
      <c r="AG390" s="132"/>
      <c r="AH390" s="132"/>
      <c r="AI390" s="132"/>
      <c r="AJ390" s="132"/>
      <c r="AK390" s="132"/>
      <c r="AL390" s="132"/>
      <c r="AM390" s="132"/>
      <c r="AN390" s="132"/>
      <c r="AO390" s="132"/>
      <c r="AP390" s="132"/>
      <c r="AQ390" s="141"/>
      <c r="AR390" s="132"/>
      <c r="AS390" s="132"/>
      <c r="AT390" s="47"/>
      <c r="AU390" s="7"/>
      <c r="AV390" s="134"/>
      <c r="AW390" s="132"/>
      <c r="AX390" s="132"/>
      <c r="AY390" s="132"/>
      <c r="AZ390" s="132"/>
      <c r="BA390" s="10"/>
      <c r="BB390" s="134"/>
      <c r="BC390" s="132"/>
      <c r="BD390" s="132"/>
      <c r="BE390" s="132"/>
      <c r="BF390" s="132"/>
      <c r="BG390" s="11"/>
      <c r="BH390" s="134"/>
      <c r="BI390" s="132"/>
      <c r="BJ390" s="132"/>
      <c r="BK390" s="132"/>
      <c r="BL390" s="132"/>
    </row>
    <row r="391" customFormat="false" ht="13.8" hidden="false" customHeight="false" outlineLevel="0" collapsed="false">
      <c r="A391" s="140"/>
      <c r="B391" s="140"/>
      <c r="C391" s="168"/>
      <c r="D391" s="132"/>
      <c r="E391" s="132"/>
      <c r="F391" s="132"/>
      <c r="G391" s="132"/>
      <c r="H391" s="132"/>
      <c r="I391" s="132"/>
      <c r="J391" s="132"/>
      <c r="K391" s="132"/>
      <c r="L391" s="132"/>
      <c r="M391" s="132"/>
      <c r="N391" s="140"/>
      <c r="O391" s="132"/>
      <c r="P391" s="132"/>
      <c r="Q391" s="132"/>
      <c r="R391" s="132"/>
      <c r="S391" s="132"/>
      <c r="T391" s="132"/>
      <c r="U391" s="132"/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2"/>
      <c r="AF391" s="132"/>
      <c r="AG391" s="132"/>
      <c r="AH391" s="132"/>
      <c r="AI391" s="132"/>
      <c r="AJ391" s="132"/>
      <c r="AK391" s="132"/>
      <c r="AL391" s="132"/>
      <c r="AM391" s="132"/>
      <c r="AN391" s="132"/>
      <c r="AO391" s="132"/>
      <c r="AP391" s="132"/>
      <c r="AQ391" s="141"/>
      <c r="AR391" s="132"/>
      <c r="AS391" s="132"/>
      <c r="AT391" s="47"/>
      <c r="AU391" s="7"/>
      <c r="AV391" s="134"/>
      <c r="AW391" s="132"/>
      <c r="AX391" s="132"/>
      <c r="AY391" s="132"/>
      <c r="AZ391" s="132"/>
      <c r="BA391" s="10"/>
      <c r="BB391" s="134"/>
      <c r="BC391" s="132"/>
      <c r="BD391" s="132"/>
      <c r="BE391" s="132"/>
      <c r="BF391" s="132"/>
      <c r="BG391" s="11"/>
      <c r="BH391" s="134"/>
      <c r="BI391" s="132"/>
      <c r="BJ391" s="132"/>
      <c r="BK391" s="132"/>
      <c r="BL391" s="132"/>
    </row>
    <row r="392" customFormat="false" ht="13.8" hidden="false" customHeight="false" outlineLevel="0" collapsed="false">
      <c r="A392" s="140"/>
      <c r="B392" s="140"/>
      <c r="C392" s="168"/>
      <c r="D392" s="132"/>
      <c r="E392" s="132"/>
      <c r="F392" s="132"/>
      <c r="G392" s="132"/>
      <c r="H392" s="132"/>
      <c r="I392" s="132"/>
      <c r="J392" s="132"/>
      <c r="K392" s="132"/>
      <c r="L392" s="132"/>
      <c r="M392" s="132"/>
      <c r="N392" s="140"/>
      <c r="O392" s="132"/>
      <c r="P392" s="132"/>
      <c r="Q392" s="132"/>
      <c r="R392" s="132"/>
      <c r="S392" s="132"/>
      <c r="T392" s="132"/>
      <c r="U392" s="132"/>
      <c r="V392" s="132"/>
      <c r="W392" s="132"/>
      <c r="X392" s="132"/>
      <c r="Y392" s="132"/>
      <c r="Z392" s="132"/>
      <c r="AA392" s="132"/>
      <c r="AB392" s="132"/>
      <c r="AC392" s="132"/>
      <c r="AD392" s="132"/>
      <c r="AE392" s="132"/>
      <c r="AF392" s="132"/>
      <c r="AG392" s="132"/>
      <c r="AH392" s="132"/>
      <c r="AI392" s="132"/>
      <c r="AJ392" s="132"/>
      <c r="AK392" s="132"/>
      <c r="AL392" s="132"/>
      <c r="AM392" s="132"/>
      <c r="AN392" s="132"/>
      <c r="AO392" s="132"/>
      <c r="AP392" s="132"/>
      <c r="AQ392" s="141"/>
      <c r="AR392" s="132"/>
      <c r="AS392" s="132"/>
      <c r="AT392" s="47"/>
      <c r="AU392" s="7"/>
      <c r="AV392" s="134"/>
      <c r="AW392" s="132"/>
      <c r="AX392" s="132"/>
      <c r="AY392" s="132"/>
      <c r="AZ392" s="132"/>
      <c r="BA392" s="10"/>
      <c r="BB392" s="134"/>
      <c r="BC392" s="132"/>
      <c r="BD392" s="132"/>
      <c r="BE392" s="132"/>
      <c r="BF392" s="132"/>
      <c r="BG392" s="11"/>
      <c r="BH392" s="134"/>
      <c r="BI392" s="132"/>
      <c r="BJ392" s="132"/>
      <c r="BK392" s="132"/>
      <c r="BL392" s="132"/>
    </row>
    <row r="393" customFormat="false" ht="13.8" hidden="false" customHeight="false" outlineLevel="0" collapsed="false">
      <c r="A393" s="140"/>
      <c r="B393" s="140"/>
      <c r="C393" s="168"/>
      <c r="D393" s="132"/>
      <c r="E393" s="132"/>
      <c r="F393" s="132"/>
      <c r="G393" s="132"/>
      <c r="H393" s="132"/>
      <c r="I393" s="132"/>
      <c r="J393" s="132"/>
      <c r="K393" s="132"/>
      <c r="L393" s="132"/>
      <c r="M393" s="132"/>
      <c r="N393" s="140"/>
      <c r="O393" s="132"/>
      <c r="P393" s="132"/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  <c r="AA393" s="132"/>
      <c r="AB393" s="132"/>
      <c r="AC393" s="132"/>
      <c r="AD393" s="132"/>
      <c r="AE393" s="132"/>
      <c r="AF393" s="132"/>
      <c r="AG393" s="132"/>
      <c r="AH393" s="132"/>
      <c r="AI393" s="132"/>
      <c r="AJ393" s="132"/>
      <c r="AK393" s="132"/>
      <c r="AL393" s="132"/>
      <c r="AM393" s="132"/>
      <c r="AN393" s="132"/>
      <c r="AO393" s="132"/>
      <c r="AP393" s="132"/>
      <c r="AQ393" s="141"/>
      <c r="AR393" s="132"/>
      <c r="AS393" s="132"/>
      <c r="AT393" s="47"/>
      <c r="AU393" s="7"/>
      <c r="AV393" s="134"/>
      <c r="AW393" s="132"/>
      <c r="AX393" s="132"/>
      <c r="AY393" s="132"/>
      <c r="AZ393" s="132"/>
      <c r="BA393" s="10"/>
      <c r="BB393" s="134"/>
      <c r="BC393" s="132"/>
      <c r="BD393" s="132"/>
      <c r="BE393" s="132"/>
      <c r="BF393" s="132"/>
      <c r="BG393" s="11"/>
      <c r="BH393" s="134"/>
      <c r="BI393" s="132"/>
      <c r="BJ393" s="132"/>
      <c r="BK393" s="132"/>
      <c r="BL393" s="132"/>
    </row>
    <row r="394" customFormat="false" ht="13.8" hidden="false" customHeight="false" outlineLevel="0" collapsed="false">
      <c r="A394" s="140"/>
      <c r="B394" s="140"/>
      <c r="C394" s="168"/>
      <c r="D394" s="132"/>
      <c r="E394" s="132"/>
      <c r="F394" s="132"/>
      <c r="G394" s="132"/>
      <c r="H394" s="132"/>
      <c r="I394" s="132"/>
      <c r="J394" s="132"/>
      <c r="K394" s="132"/>
      <c r="L394" s="132"/>
      <c r="M394" s="132"/>
      <c r="N394" s="140"/>
      <c r="O394" s="132"/>
      <c r="P394" s="132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  <c r="AA394" s="132"/>
      <c r="AB394" s="132"/>
      <c r="AC394" s="132"/>
      <c r="AD394" s="132"/>
      <c r="AE394" s="132"/>
      <c r="AF394" s="132"/>
      <c r="AG394" s="132"/>
      <c r="AH394" s="132"/>
      <c r="AI394" s="132"/>
      <c r="AJ394" s="132"/>
      <c r="AK394" s="132"/>
      <c r="AL394" s="132"/>
      <c r="AM394" s="132"/>
      <c r="AN394" s="132"/>
      <c r="AO394" s="132"/>
      <c r="AP394" s="132"/>
      <c r="AQ394" s="141"/>
      <c r="AR394" s="132"/>
      <c r="AS394" s="132"/>
      <c r="AT394" s="47"/>
      <c r="AU394" s="7"/>
      <c r="AV394" s="134"/>
      <c r="AW394" s="132"/>
      <c r="AX394" s="132"/>
      <c r="AY394" s="132"/>
      <c r="AZ394" s="132"/>
      <c r="BA394" s="10"/>
      <c r="BB394" s="134"/>
      <c r="BC394" s="132"/>
      <c r="BD394" s="132"/>
      <c r="BE394" s="132"/>
      <c r="BF394" s="132"/>
      <c r="BG394" s="11"/>
      <c r="BH394" s="134"/>
      <c r="BI394" s="132"/>
      <c r="BJ394" s="132"/>
      <c r="BK394" s="132"/>
      <c r="BL394" s="132"/>
    </row>
    <row r="395" customFormat="false" ht="13.8" hidden="false" customHeight="false" outlineLevel="0" collapsed="false">
      <c r="A395" s="140"/>
      <c r="B395" s="140"/>
      <c r="C395" s="168"/>
      <c r="D395" s="132"/>
      <c r="E395" s="132"/>
      <c r="F395" s="132"/>
      <c r="G395" s="132"/>
      <c r="H395" s="132"/>
      <c r="I395" s="132"/>
      <c r="J395" s="132"/>
      <c r="K395" s="132"/>
      <c r="L395" s="132"/>
      <c r="M395" s="132"/>
      <c r="N395" s="140"/>
      <c r="O395" s="132"/>
      <c r="P395" s="132"/>
      <c r="Q395" s="132"/>
      <c r="R395" s="132"/>
      <c r="S395" s="132"/>
      <c r="T395" s="132"/>
      <c r="U395" s="132"/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  <c r="AF395" s="132"/>
      <c r="AG395" s="132"/>
      <c r="AH395" s="132"/>
      <c r="AI395" s="132"/>
      <c r="AJ395" s="132"/>
      <c r="AK395" s="132"/>
      <c r="AL395" s="132"/>
      <c r="AM395" s="132"/>
      <c r="AN395" s="132"/>
      <c r="AO395" s="132"/>
      <c r="AP395" s="132"/>
      <c r="AQ395" s="141"/>
      <c r="AR395" s="132"/>
      <c r="AS395" s="132"/>
      <c r="AT395" s="47"/>
      <c r="AU395" s="7"/>
      <c r="AV395" s="134"/>
      <c r="AW395" s="132"/>
      <c r="AX395" s="132"/>
      <c r="AY395" s="132"/>
      <c r="AZ395" s="132"/>
      <c r="BA395" s="10"/>
      <c r="BB395" s="134"/>
      <c r="BC395" s="132"/>
      <c r="BD395" s="132"/>
      <c r="BE395" s="132"/>
      <c r="BF395" s="132"/>
      <c r="BG395" s="11"/>
      <c r="BH395" s="134"/>
      <c r="BI395" s="132"/>
      <c r="BJ395" s="132"/>
      <c r="BK395" s="132"/>
      <c r="BL395" s="132"/>
    </row>
    <row r="396" customFormat="false" ht="13.8" hidden="false" customHeight="false" outlineLevel="0" collapsed="false">
      <c r="A396" s="140"/>
      <c r="B396" s="140"/>
      <c r="C396" s="168"/>
      <c r="D396" s="132"/>
      <c r="E396" s="132"/>
      <c r="F396" s="132"/>
      <c r="G396" s="132"/>
      <c r="H396" s="132"/>
      <c r="I396" s="132"/>
      <c r="J396" s="132"/>
      <c r="K396" s="132"/>
      <c r="L396" s="132"/>
      <c r="M396" s="132"/>
      <c r="N396" s="140"/>
      <c r="O396" s="132"/>
      <c r="P396" s="132"/>
      <c r="Q396" s="132"/>
      <c r="R396" s="132"/>
      <c r="S396" s="132"/>
      <c r="T396" s="132"/>
      <c r="U396" s="132"/>
      <c r="V396" s="132"/>
      <c r="W396" s="132"/>
      <c r="X396" s="132"/>
      <c r="Y396" s="132"/>
      <c r="Z396" s="132"/>
      <c r="AA396" s="132"/>
      <c r="AB396" s="132"/>
      <c r="AC396" s="132"/>
      <c r="AD396" s="132"/>
      <c r="AE396" s="132"/>
      <c r="AF396" s="132"/>
      <c r="AG396" s="132"/>
      <c r="AH396" s="132"/>
      <c r="AI396" s="132"/>
      <c r="AJ396" s="132"/>
      <c r="AK396" s="132"/>
      <c r="AL396" s="132"/>
      <c r="AM396" s="132"/>
      <c r="AN396" s="132"/>
      <c r="AO396" s="132"/>
      <c r="AP396" s="132"/>
      <c r="AQ396" s="141"/>
      <c r="AR396" s="132"/>
      <c r="AS396" s="132"/>
      <c r="AT396" s="47"/>
      <c r="AU396" s="7"/>
      <c r="AV396" s="134"/>
      <c r="AW396" s="132"/>
      <c r="AX396" s="132"/>
      <c r="AY396" s="132"/>
      <c r="AZ396" s="132"/>
      <c r="BA396" s="10"/>
      <c r="BB396" s="134"/>
      <c r="BC396" s="132"/>
      <c r="BD396" s="132"/>
      <c r="BE396" s="132"/>
      <c r="BF396" s="132"/>
      <c r="BG396" s="11"/>
      <c r="BH396" s="134"/>
      <c r="BI396" s="132"/>
      <c r="BJ396" s="132"/>
      <c r="BK396" s="132"/>
      <c r="BL396" s="132"/>
    </row>
    <row r="397" customFormat="false" ht="13.8" hidden="false" customHeight="false" outlineLevel="0" collapsed="false">
      <c r="A397" s="140"/>
      <c r="B397" s="140"/>
      <c r="C397" s="168"/>
      <c r="D397" s="132"/>
      <c r="E397" s="132"/>
      <c r="F397" s="132"/>
      <c r="G397" s="132"/>
      <c r="H397" s="132"/>
      <c r="I397" s="132"/>
      <c r="J397" s="132"/>
      <c r="K397" s="132"/>
      <c r="L397" s="132"/>
      <c r="M397" s="132"/>
      <c r="N397" s="140"/>
      <c r="O397" s="132"/>
      <c r="P397" s="132"/>
      <c r="Q397" s="132"/>
      <c r="R397" s="132"/>
      <c r="S397" s="132"/>
      <c r="T397" s="132"/>
      <c r="U397" s="132"/>
      <c r="V397" s="132"/>
      <c r="W397" s="132"/>
      <c r="X397" s="132"/>
      <c r="Y397" s="132"/>
      <c r="Z397" s="132"/>
      <c r="AA397" s="132"/>
      <c r="AB397" s="132"/>
      <c r="AC397" s="132"/>
      <c r="AD397" s="132"/>
      <c r="AE397" s="132"/>
      <c r="AF397" s="132"/>
      <c r="AG397" s="132"/>
      <c r="AH397" s="132"/>
      <c r="AI397" s="132"/>
      <c r="AJ397" s="132"/>
      <c r="AK397" s="132"/>
      <c r="AL397" s="132"/>
      <c r="AM397" s="132"/>
      <c r="AN397" s="132"/>
      <c r="AO397" s="132"/>
      <c r="AP397" s="132"/>
      <c r="AQ397" s="141"/>
      <c r="AR397" s="132"/>
      <c r="AS397" s="132"/>
      <c r="AT397" s="47"/>
      <c r="AU397" s="7"/>
      <c r="AV397" s="134"/>
      <c r="AW397" s="132"/>
      <c r="AX397" s="132"/>
      <c r="AY397" s="132"/>
      <c r="AZ397" s="132"/>
      <c r="BA397" s="10"/>
      <c r="BB397" s="134"/>
      <c r="BC397" s="132"/>
      <c r="BD397" s="132"/>
      <c r="BE397" s="132"/>
      <c r="BF397" s="132"/>
      <c r="BG397" s="11"/>
      <c r="BH397" s="134"/>
      <c r="BI397" s="132"/>
      <c r="BJ397" s="132"/>
      <c r="BK397" s="132"/>
      <c r="BL397" s="132"/>
    </row>
    <row r="398" customFormat="false" ht="13.8" hidden="false" customHeight="false" outlineLevel="0" collapsed="false">
      <c r="A398" s="140"/>
      <c r="B398" s="140"/>
      <c r="C398" s="168"/>
      <c r="D398" s="132"/>
      <c r="E398" s="132"/>
      <c r="F398" s="132"/>
      <c r="G398" s="132"/>
      <c r="H398" s="132"/>
      <c r="I398" s="132"/>
      <c r="J398" s="132"/>
      <c r="K398" s="132"/>
      <c r="L398" s="132"/>
      <c r="M398" s="132"/>
      <c r="N398" s="140"/>
      <c r="O398" s="132"/>
      <c r="P398" s="132"/>
      <c r="Q398" s="132"/>
      <c r="R398" s="132"/>
      <c r="S398" s="132"/>
      <c r="T398" s="132"/>
      <c r="U398" s="132"/>
      <c r="V398" s="132"/>
      <c r="W398" s="132"/>
      <c r="X398" s="132"/>
      <c r="Y398" s="132"/>
      <c r="Z398" s="132"/>
      <c r="AA398" s="132"/>
      <c r="AB398" s="132"/>
      <c r="AC398" s="132"/>
      <c r="AD398" s="132"/>
      <c r="AE398" s="132"/>
      <c r="AF398" s="132"/>
      <c r="AG398" s="132"/>
      <c r="AH398" s="132"/>
      <c r="AI398" s="132"/>
      <c r="AJ398" s="132"/>
      <c r="AK398" s="132"/>
      <c r="AL398" s="132"/>
      <c r="AM398" s="132"/>
      <c r="AN398" s="132"/>
      <c r="AO398" s="132"/>
      <c r="AP398" s="132"/>
      <c r="AQ398" s="141"/>
      <c r="AR398" s="132"/>
      <c r="AS398" s="132"/>
      <c r="AT398" s="47"/>
      <c r="AU398" s="7"/>
      <c r="AV398" s="134"/>
      <c r="AW398" s="132"/>
      <c r="AX398" s="132"/>
      <c r="AY398" s="132"/>
      <c r="AZ398" s="132"/>
      <c r="BA398" s="10"/>
      <c r="BB398" s="134"/>
      <c r="BC398" s="132"/>
      <c r="BD398" s="132"/>
      <c r="BE398" s="132"/>
      <c r="BF398" s="132"/>
      <c r="BG398" s="11"/>
      <c r="BH398" s="134"/>
      <c r="BI398" s="132"/>
      <c r="BJ398" s="132"/>
      <c r="BK398" s="132"/>
      <c r="BL398" s="132"/>
    </row>
    <row r="399" customFormat="false" ht="13.8" hidden="false" customHeight="false" outlineLevel="0" collapsed="false">
      <c r="A399" s="140"/>
      <c r="B399" s="140"/>
      <c r="C399" s="168"/>
      <c r="D399" s="132"/>
      <c r="E399" s="132"/>
      <c r="F399" s="132"/>
      <c r="G399" s="132"/>
      <c r="H399" s="132"/>
      <c r="I399" s="132"/>
      <c r="J399" s="132"/>
      <c r="K399" s="132"/>
      <c r="L399" s="132"/>
      <c r="M399" s="132"/>
      <c r="N399" s="140"/>
      <c r="O399" s="132"/>
      <c r="P399" s="132"/>
      <c r="Q399" s="132"/>
      <c r="R399" s="132"/>
      <c r="S399" s="132"/>
      <c r="T399" s="132"/>
      <c r="U399" s="132"/>
      <c r="V399" s="132"/>
      <c r="W399" s="132"/>
      <c r="X399" s="132"/>
      <c r="Y399" s="132"/>
      <c r="Z399" s="132"/>
      <c r="AA399" s="132"/>
      <c r="AB399" s="132"/>
      <c r="AC399" s="132"/>
      <c r="AD399" s="132"/>
      <c r="AE399" s="132"/>
      <c r="AF399" s="132"/>
      <c r="AG399" s="132"/>
      <c r="AH399" s="132"/>
      <c r="AI399" s="132"/>
      <c r="AJ399" s="132"/>
      <c r="AK399" s="132"/>
      <c r="AL399" s="132"/>
      <c r="AM399" s="132"/>
      <c r="AN399" s="132"/>
      <c r="AO399" s="132"/>
      <c r="AP399" s="132"/>
      <c r="AQ399" s="141"/>
      <c r="AR399" s="132"/>
      <c r="AS399" s="132"/>
      <c r="AT399" s="47"/>
      <c r="AU399" s="7"/>
      <c r="AV399" s="134"/>
      <c r="AW399" s="132"/>
      <c r="AX399" s="132"/>
      <c r="AY399" s="132"/>
      <c r="AZ399" s="132"/>
      <c r="BA399" s="10"/>
      <c r="BB399" s="134"/>
      <c r="BC399" s="132"/>
      <c r="BD399" s="132"/>
      <c r="BE399" s="132"/>
      <c r="BF399" s="132"/>
      <c r="BG399" s="11"/>
      <c r="BH399" s="134"/>
      <c r="BI399" s="132"/>
      <c r="BJ399" s="132"/>
      <c r="BK399" s="132"/>
      <c r="BL399" s="132"/>
    </row>
    <row r="400" customFormat="false" ht="13.8" hidden="false" customHeight="false" outlineLevel="0" collapsed="false">
      <c r="A400" s="140"/>
      <c r="B400" s="140"/>
      <c r="C400" s="168"/>
      <c r="D400" s="132"/>
      <c r="E400" s="132"/>
      <c r="F400" s="132"/>
      <c r="G400" s="132"/>
      <c r="H400" s="132"/>
      <c r="I400" s="132"/>
      <c r="J400" s="132"/>
      <c r="K400" s="132"/>
      <c r="L400" s="132"/>
      <c r="M400" s="132"/>
      <c r="N400" s="140"/>
      <c r="O400" s="132"/>
      <c r="P400" s="132"/>
      <c r="Q400" s="132"/>
      <c r="R400" s="132"/>
      <c r="S400" s="132"/>
      <c r="T400" s="132"/>
      <c r="U400" s="132"/>
      <c r="V400" s="132"/>
      <c r="W400" s="132"/>
      <c r="X400" s="132"/>
      <c r="Y400" s="132"/>
      <c r="Z400" s="132"/>
      <c r="AA400" s="132"/>
      <c r="AB400" s="132"/>
      <c r="AC400" s="132"/>
      <c r="AD400" s="132"/>
      <c r="AE400" s="132"/>
      <c r="AF400" s="132"/>
      <c r="AG400" s="132"/>
      <c r="AH400" s="132"/>
      <c r="AI400" s="132"/>
      <c r="AJ400" s="132"/>
      <c r="AK400" s="132"/>
      <c r="AL400" s="132"/>
      <c r="AM400" s="132"/>
      <c r="AN400" s="132"/>
      <c r="AO400" s="132"/>
      <c r="AP400" s="132"/>
      <c r="AQ400" s="141"/>
      <c r="AR400" s="132"/>
      <c r="AS400" s="132"/>
      <c r="AT400" s="47"/>
      <c r="AU400" s="7"/>
      <c r="AV400" s="134"/>
      <c r="AW400" s="132"/>
      <c r="AX400" s="132"/>
      <c r="AY400" s="132"/>
      <c r="AZ400" s="132"/>
      <c r="BA400" s="10"/>
      <c r="BB400" s="134"/>
      <c r="BC400" s="132"/>
      <c r="BD400" s="132"/>
      <c r="BE400" s="132"/>
      <c r="BF400" s="132"/>
      <c r="BG400" s="11"/>
      <c r="BH400" s="134"/>
      <c r="BI400" s="132"/>
      <c r="BJ400" s="132"/>
      <c r="BK400" s="132"/>
      <c r="BL400" s="132"/>
    </row>
    <row r="401" customFormat="false" ht="13.8" hidden="false" customHeight="false" outlineLevel="0" collapsed="false">
      <c r="A401" s="140"/>
      <c r="B401" s="140"/>
      <c r="C401" s="168"/>
      <c r="D401" s="132"/>
      <c r="E401" s="132"/>
      <c r="F401" s="132"/>
      <c r="G401" s="132"/>
      <c r="H401" s="132"/>
      <c r="I401" s="132"/>
      <c r="J401" s="132"/>
      <c r="K401" s="132"/>
      <c r="L401" s="132"/>
      <c r="M401" s="132"/>
      <c r="N401" s="140"/>
      <c r="O401" s="132"/>
      <c r="P401" s="132"/>
      <c r="Q401" s="132"/>
      <c r="R401" s="132"/>
      <c r="S401" s="132"/>
      <c r="T401" s="132"/>
      <c r="U401" s="132"/>
      <c r="V401" s="132"/>
      <c r="W401" s="132"/>
      <c r="X401" s="132"/>
      <c r="Y401" s="132"/>
      <c r="Z401" s="132"/>
      <c r="AA401" s="132"/>
      <c r="AB401" s="132"/>
      <c r="AC401" s="132"/>
      <c r="AD401" s="132"/>
      <c r="AE401" s="132"/>
      <c r="AF401" s="132"/>
      <c r="AG401" s="132"/>
      <c r="AH401" s="132"/>
      <c r="AI401" s="132"/>
      <c r="AJ401" s="132"/>
      <c r="AK401" s="132"/>
      <c r="AL401" s="132"/>
      <c r="AM401" s="132"/>
      <c r="AN401" s="132"/>
      <c r="AO401" s="132"/>
      <c r="AP401" s="132"/>
      <c r="AQ401" s="141"/>
      <c r="AR401" s="132"/>
      <c r="AS401" s="132"/>
      <c r="AT401" s="47"/>
      <c r="AU401" s="7"/>
      <c r="AV401" s="134"/>
      <c r="AW401" s="132"/>
      <c r="AX401" s="132"/>
      <c r="AY401" s="132"/>
      <c r="AZ401" s="132"/>
      <c r="BA401" s="10"/>
      <c r="BB401" s="134"/>
      <c r="BC401" s="132"/>
      <c r="BD401" s="132"/>
      <c r="BE401" s="132"/>
      <c r="BF401" s="132"/>
      <c r="BG401" s="11"/>
      <c r="BH401" s="134"/>
      <c r="BI401" s="132"/>
      <c r="BJ401" s="132"/>
      <c r="BK401" s="132"/>
      <c r="BL401" s="132"/>
    </row>
    <row r="402" customFormat="false" ht="13.8" hidden="false" customHeight="false" outlineLevel="0" collapsed="false">
      <c r="A402" s="140"/>
      <c r="B402" s="140"/>
      <c r="C402" s="168"/>
      <c r="D402" s="132"/>
      <c r="E402" s="132"/>
      <c r="F402" s="132"/>
      <c r="G402" s="132"/>
      <c r="H402" s="132"/>
      <c r="I402" s="132"/>
      <c r="J402" s="132"/>
      <c r="K402" s="132"/>
      <c r="L402" s="132"/>
      <c r="M402" s="132"/>
      <c r="N402" s="140"/>
      <c r="O402" s="132"/>
      <c r="P402" s="132"/>
      <c r="Q402" s="132"/>
      <c r="R402" s="132"/>
      <c r="S402" s="132"/>
      <c r="T402" s="132"/>
      <c r="U402" s="132"/>
      <c r="V402" s="132"/>
      <c r="W402" s="132"/>
      <c r="X402" s="132"/>
      <c r="Y402" s="132"/>
      <c r="Z402" s="132"/>
      <c r="AA402" s="132"/>
      <c r="AB402" s="132"/>
      <c r="AC402" s="132"/>
      <c r="AD402" s="132"/>
      <c r="AE402" s="132"/>
      <c r="AF402" s="132"/>
      <c r="AG402" s="132"/>
      <c r="AH402" s="132"/>
      <c r="AI402" s="132"/>
      <c r="AJ402" s="132"/>
      <c r="AK402" s="132"/>
      <c r="AL402" s="132"/>
      <c r="AM402" s="132"/>
      <c r="AN402" s="132"/>
      <c r="AO402" s="132"/>
      <c r="AP402" s="132"/>
      <c r="AQ402" s="141"/>
      <c r="AR402" s="132"/>
      <c r="AS402" s="132"/>
      <c r="AT402" s="47"/>
      <c r="AU402" s="7"/>
      <c r="AV402" s="134"/>
      <c r="AW402" s="132"/>
      <c r="AX402" s="132"/>
      <c r="AY402" s="132"/>
      <c r="AZ402" s="132"/>
      <c r="BA402" s="10"/>
      <c r="BB402" s="134"/>
      <c r="BC402" s="132"/>
      <c r="BD402" s="132"/>
      <c r="BE402" s="132"/>
      <c r="BF402" s="132"/>
      <c r="BG402" s="11"/>
      <c r="BH402" s="134"/>
      <c r="BI402" s="132"/>
      <c r="BJ402" s="132"/>
      <c r="BK402" s="132"/>
      <c r="BL402" s="132"/>
    </row>
    <row r="403" customFormat="false" ht="13.8" hidden="false" customHeight="false" outlineLevel="0" collapsed="false">
      <c r="A403" s="140"/>
      <c r="B403" s="140"/>
      <c r="C403" s="168"/>
      <c r="D403" s="132"/>
      <c r="E403" s="132"/>
      <c r="F403" s="132"/>
      <c r="G403" s="132"/>
      <c r="H403" s="132"/>
      <c r="I403" s="132"/>
      <c r="J403" s="132"/>
      <c r="K403" s="132"/>
      <c r="L403" s="132"/>
      <c r="M403" s="132"/>
      <c r="N403" s="140"/>
      <c r="O403" s="132"/>
      <c r="P403" s="132"/>
      <c r="Q403" s="132"/>
      <c r="R403" s="132"/>
      <c r="S403" s="132"/>
      <c r="T403" s="132"/>
      <c r="U403" s="132"/>
      <c r="V403" s="132"/>
      <c r="W403" s="132"/>
      <c r="X403" s="132"/>
      <c r="Y403" s="132"/>
      <c r="Z403" s="132"/>
      <c r="AA403" s="132"/>
      <c r="AB403" s="132"/>
      <c r="AC403" s="132"/>
      <c r="AD403" s="132"/>
      <c r="AE403" s="132"/>
      <c r="AF403" s="132"/>
      <c r="AG403" s="132"/>
      <c r="AH403" s="132"/>
      <c r="AI403" s="132"/>
      <c r="AJ403" s="132"/>
      <c r="AK403" s="132"/>
      <c r="AL403" s="132"/>
      <c r="AM403" s="132"/>
      <c r="AN403" s="132"/>
      <c r="AO403" s="132"/>
      <c r="AP403" s="132"/>
      <c r="AQ403" s="141"/>
      <c r="AR403" s="132"/>
      <c r="AS403" s="132"/>
      <c r="AT403" s="47"/>
      <c r="AU403" s="7"/>
      <c r="AV403" s="134"/>
      <c r="AW403" s="132"/>
      <c r="AX403" s="132"/>
      <c r="AY403" s="132"/>
      <c r="AZ403" s="132"/>
      <c r="BA403" s="10"/>
      <c r="BB403" s="134"/>
      <c r="BC403" s="132"/>
      <c r="BD403" s="132"/>
      <c r="BE403" s="132"/>
      <c r="BF403" s="132"/>
      <c r="BG403" s="11"/>
      <c r="BH403" s="134"/>
      <c r="BI403" s="132"/>
      <c r="BJ403" s="132"/>
      <c r="BK403" s="132"/>
      <c r="BL403" s="132"/>
    </row>
    <row r="404" customFormat="false" ht="13.8" hidden="false" customHeight="false" outlineLevel="0" collapsed="false">
      <c r="A404" s="140"/>
      <c r="B404" s="140"/>
      <c r="C404" s="168"/>
      <c r="D404" s="132"/>
      <c r="E404" s="132"/>
      <c r="F404" s="132"/>
      <c r="G404" s="132"/>
      <c r="H404" s="132"/>
      <c r="I404" s="132"/>
      <c r="J404" s="132"/>
      <c r="K404" s="132"/>
      <c r="L404" s="132"/>
      <c r="M404" s="132"/>
      <c r="N404" s="140"/>
      <c r="O404" s="132"/>
      <c r="P404" s="132"/>
      <c r="Q404" s="132"/>
      <c r="R404" s="132"/>
      <c r="S404" s="132"/>
      <c r="T404" s="132"/>
      <c r="U404" s="132"/>
      <c r="V404" s="132"/>
      <c r="W404" s="132"/>
      <c r="X404" s="132"/>
      <c r="Y404" s="132"/>
      <c r="Z404" s="132"/>
      <c r="AA404" s="132"/>
      <c r="AB404" s="132"/>
      <c r="AC404" s="132"/>
      <c r="AD404" s="132"/>
      <c r="AE404" s="132"/>
      <c r="AF404" s="132"/>
      <c r="AG404" s="132"/>
      <c r="AH404" s="132"/>
      <c r="AI404" s="132"/>
      <c r="AJ404" s="132"/>
      <c r="AK404" s="132"/>
      <c r="AL404" s="132"/>
      <c r="AM404" s="132"/>
      <c r="AN404" s="132"/>
      <c r="AO404" s="132"/>
      <c r="AP404" s="132"/>
      <c r="AQ404" s="141"/>
      <c r="AR404" s="132"/>
      <c r="AS404" s="132"/>
      <c r="AT404" s="47"/>
      <c r="AU404" s="7"/>
      <c r="AV404" s="134"/>
      <c r="AW404" s="132"/>
      <c r="AX404" s="132"/>
      <c r="AY404" s="132"/>
      <c r="AZ404" s="132"/>
      <c r="BA404" s="10"/>
      <c r="BB404" s="134"/>
      <c r="BC404" s="132"/>
      <c r="BD404" s="132"/>
      <c r="BE404" s="132"/>
      <c r="BF404" s="132"/>
      <c r="BG404" s="11"/>
      <c r="BH404" s="134"/>
      <c r="BI404" s="132"/>
      <c r="BJ404" s="132"/>
      <c r="BK404" s="132"/>
      <c r="BL404" s="132"/>
    </row>
    <row r="405" customFormat="false" ht="13.8" hidden="false" customHeight="false" outlineLevel="0" collapsed="false">
      <c r="A405" s="140"/>
      <c r="B405" s="140"/>
      <c r="C405" s="168"/>
      <c r="D405" s="132"/>
      <c r="E405" s="132"/>
      <c r="F405" s="132"/>
      <c r="G405" s="132"/>
      <c r="H405" s="132"/>
      <c r="I405" s="132"/>
      <c r="J405" s="132"/>
      <c r="K405" s="132"/>
      <c r="L405" s="132"/>
      <c r="M405" s="132"/>
      <c r="N405" s="140"/>
      <c r="O405" s="132"/>
      <c r="P405" s="132"/>
      <c r="Q405" s="132"/>
      <c r="R405" s="132"/>
      <c r="S405" s="132"/>
      <c r="T405" s="132"/>
      <c r="U405" s="132"/>
      <c r="V405" s="132"/>
      <c r="W405" s="132"/>
      <c r="X405" s="132"/>
      <c r="Y405" s="132"/>
      <c r="Z405" s="132"/>
      <c r="AA405" s="132"/>
      <c r="AB405" s="132"/>
      <c r="AC405" s="132"/>
      <c r="AD405" s="132"/>
      <c r="AE405" s="132"/>
      <c r="AF405" s="132"/>
      <c r="AG405" s="132"/>
      <c r="AH405" s="132"/>
      <c r="AI405" s="132"/>
      <c r="AJ405" s="132"/>
      <c r="AK405" s="132"/>
      <c r="AL405" s="132"/>
      <c r="AM405" s="132"/>
      <c r="AN405" s="132"/>
      <c r="AO405" s="132"/>
      <c r="AP405" s="132"/>
      <c r="AQ405" s="141"/>
      <c r="AR405" s="132"/>
      <c r="AS405" s="132"/>
      <c r="AT405" s="47"/>
      <c r="AU405" s="7"/>
      <c r="AV405" s="134"/>
      <c r="AW405" s="132"/>
      <c r="AX405" s="132"/>
      <c r="AY405" s="132"/>
      <c r="AZ405" s="132"/>
      <c r="BA405" s="10"/>
      <c r="BB405" s="134"/>
      <c r="BC405" s="132"/>
      <c r="BD405" s="132"/>
      <c r="BE405" s="132"/>
      <c r="BF405" s="132"/>
      <c r="BG405" s="11"/>
      <c r="BH405" s="134"/>
      <c r="BI405" s="132"/>
      <c r="BJ405" s="132"/>
      <c r="BK405" s="132"/>
      <c r="BL405" s="132"/>
    </row>
    <row r="406" customFormat="false" ht="13.8" hidden="false" customHeight="false" outlineLevel="0" collapsed="false">
      <c r="A406" s="140"/>
      <c r="B406" s="140"/>
      <c r="C406" s="168"/>
      <c r="D406" s="132"/>
      <c r="E406" s="132"/>
      <c r="F406" s="132"/>
      <c r="G406" s="132"/>
      <c r="H406" s="132"/>
      <c r="I406" s="132"/>
      <c r="J406" s="132"/>
      <c r="K406" s="132"/>
      <c r="L406" s="132"/>
      <c r="M406" s="132"/>
      <c r="N406" s="140"/>
      <c r="O406" s="132"/>
      <c r="P406" s="132"/>
      <c r="Q406" s="132"/>
      <c r="R406" s="132"/>
      <c r="S406" s="132"/>
      <c r="T406" s="132"/>
      <c r="U406" s="132"/>
      <c r="V406" s="132"/>
      <c r="W406" s="132"/>
      <c r="X406" s="132"/>
      <c r="Y406" s="132"/>
      <c r="Z406" s="132"/>
      <c r="AA406" s="132"/>
      <c r="AB406" s="132"/>
      <c r="AC406" s="132"/>
      <c r="AD406" s="132"/>
      <c r="AE406" s="132"/>
      <c r="AF406" s="132"/>
      <c r="AG406" s="132"/>
      <c r="AH406" s="132"/>
      <c r="AI406" s="132"/>
      <c r="AJ406" s="132"/>
      <c r="AK406" s="132"/>
      <c r="AL406" s="132"/>
      <c r="AM406" s="132"/>
      <c r="AN406" s="132"/>
      <c r="AO406" s="132"/>
      <c r="AP406" s="132"/>
      <c r="AQ406" s="141"/>
      <c r="AR406" s="132"/>
      <c r="AS406" s="132"/>
      <c r="AT406" s="47"/>
      <c r="AU406" s="7"/>
      <c r="AV406" s="134"/>
      <c r="AW406" s="132"/>
      <c r="AX406" s="132"/>
      <c r="AY406" s="132"/>
      <c r="AZ406" s="132"/>
      <c r="BA406" s="10"/>
      <c r="BB406" s="134"/>
      <c r="BC406" s="132"/>
      <c r="BD406" s="132"/>
      <c r="BE406" s="132"/>
      <c r="BF406" s="132"/>
      <c r="BG406" s="11"/>
      <c r="BH406" s="134"/>
      <c r="BI406" s="132"/>
      <c r="BJ406" s="132"/>
      <c r="BK406" s="132"/>
      <c r="BL406" s="132"/>
    </row>
    <row r="407" customFormat="false" ht="13.8" hidden="false" customHeight="false" outlineLevel="0" collapsed="false">
      <c r="A407" s="140"/>
      <c r="B407" s="140"/>
      <c r="C407" s="168"/>
      <c r="D407" s="132"/>
      <c r="E407" s="132"/>
      <c r="F407" s="132"/>
      <c r="G407" s="132"/>
      <c r="H407" s="132"/>
      <c r="I407" s="132"/>
      <c r="J407" s="132"/>
      <c r="K407" s="132"/>
      <c r="L407" s="132"/>
      <c r="M407" s="132"/>
      <c r="N407" s="140"/>
      <c r="O407" s="132"/>
      <c r="P407" s="132"/>
      <c r="Q407" s="132"/>
      <c r="R407" s="132"/>
      <c r="S407" s="132"/>
      <c r="T407" s="132"/>
      <c r="U407" s="132"/>
      <c r="V407" s="132"/>
      <c r="W407" s="132"/>
      <c r="X407" s="132"/>
      <c r="Y407" s="132"/>
      <c r="Z407" s="132"/>
      <c r="AA407" s="132"/>
      <c r="AB407" s="132"/>
      <c r="AC407" s="132"/>
      <c r="AD407" s="132"/>
      <c r="AE407" s="132"/>
      <c r="AF407" s="132"/>
      <c r="AG407" s="132"/>
      <c r="AH407" s="132"/>
      <c r="AI407" s="132"/>
      <c r="AJ407" s="132"/>
      <c r="AK407" s="132"/>
      <c r="AL407" s="132"/>
      <c r="AM407" s="132"/>
      <c r="AN407" s="132"/>
      <c r="AO407" s="132"/>
      <c r="AP407" s="132"/>
      <c r="AQ407" s="141"/>
      <c r="AR407" s="132"/>
      <c r="AS407" s="132"/>
      <c r="AT407" s="47"/>
      <c r="AU407" s="7"/>
      <c r="AV407" s="134"/>
      <c r="AW407" s="132"/>
      <c r="AX407" s="132"/>
      <c r="AY407" s="132"/>
      <c r="AZ407" s="132"/>
      <c r="BA407" s="10"/>
      <c r="BB407" s="134"/>
      <c r="BC407" s="132"/>
      <c r="BD407" s="132"/>
      <c r="BE407" s="132"/>
      <c r="BF407" s="132"/>
      <c r="BG407" s="11"/>
      <c r="BH407" s="134"/>
      <c r="BI407" s="132"/>
      <c r="BJ407" s="132"/>
      <c r="BK407" s="132"/>
      <c r="BL407" s="132"/>
    </row>
    <row r="408" customFormat="false" ht="13.8" hidden="false" customHeight="false" outlineLevel="0" collapsed="false">
      <c r="A408" s="140"/>
      <c r="B408" s="140"/>
      <c r="C408" s="168"/>
      <c r="D408" s="132"/>
      <c r="E408" s="132"/>
      <c r="F408" s="132"/>
      <c r="G408" s="132"/>
      <c r="H408" s="132"/>
      <c r="I408" s="132"/>
      <c r="J408" s="132"/>
      <c r="K408" s="132"/>
      <c r="L408" s="132"/>
      <c r="M408" s="132"/>
      <c r="N408" s="140"/>
      <c r="O408" s="132"/>
      <c r="P408" s="132"/>
      <c r="Q408" s="132"/>
      <c r="R408" s="132"/>
      <c r="S408" s="132"/>
      <c r="T408" s="132"/>
      <c r="U408" s="132"/>
      <c r="V408" s="132"/>
      <c r="W408" s="132"/>
      <c r="X408" s="132"/>
      <c r="Y408" s="132"/>
      <c r="Z408" s="132"/>
      <c r="AA408" s="132"/>
      <c r="AB408" s="132"/>
      <c r="AC408" s="132"/>
      <c r="AD408" s="132"/>
      <c r="AE408" s="132"/>
      <c r="AF408" s="132"/>
      <c r="AG408" s="132"/>
      <c r="AH408" s="132"/>
      <c r="AI408" s="132"/>
      <c r="AJ408" s="132"/>
      <c r="AK408" s="132"/>
      <c r="AL408" s="132"/>
      <c r="AM408" s="132"/>
      <c r="AN408" s="132"/>
      <c r="AO408" s="132"/>
      <c r="AP408" s="132"/>
      <c r="AQ408" s="141"/>
      <c r="AR408" s="132"/>
      <c r="AS408" s="132"/>
      <c r="AT408" s="47"/>
      <c r="AU408" s="7"/>
      <c r="AV408" s="134"/>
      <c r="AW408" s="132"/>
      <c r="AX408" s="132"/>
      <c r="AY408" s="132"/>
      <c r="AZ408" s="132"/>
      <c r="BA408" s="10"/>
      <c r="BB408" s="134"/>
      <c r="BC408" s="132"/>
      <c r="BD408" s="132"/>
      <c r="BE408" s="132"/>
      <c r="BF408" s="132"/>
      <c r="BG408" s="11"/>
      <c r="BH408" s="134"/>
      <c r="BI408" s="132"/>
      <c r="BJ408" s="132"/>
      <c r="BK408" s="132"/>
      <c r="BL408" s="132"/>
    </row>
    <row r="409" customFormat="false" ht="13.8" hidden="false" customHeight="false" outlineLevel="0" collapsed="false">
      <c r="A409" s="140"/>
      <c r="B409" s="140"/>
      <c r="C409" s="168"/>
      <c r="D409" s="132"/>
      <c r="E409" s="132"/>
      <c r="F409" s="132"/>
      <c r="G409" s="132"/>
      <c r="H409" s="132"/>
      <c r="I409" s="132"/>
      <c r="J409" s="132"/>
      <c r="K409" s="132"/>
      <c r="L409" s="132"/>
      <c r="M409" s="132"/>
      <c r="N409" s="140"/>
      <c r="O409" s="132"/>
      <c r="P409" s="132"/>
      <c r="Q409" s="132"/>
      <c r="R409" s="132"/>
      <c r="S409" s="132"/>
      <c r="T409" s="132"/>
      <c r="U409" s="132"/>
      <c r="V409" s="132"/>
      <c r="W409" s="132"/>
      <c r="X409" s="132"/>
      <c r="Y409" s="132"/>
      <c r="Z409" s="132"/>
      <c r="AA409" s="132"/>
      <c r="AB409" s="132"/>
      <c r="AC409" s="132"/>
      <c r="AD409" s="132"/>
      <c r="AE409" s="132"/>
      <c r="AF409" s="132"/>
      <c r="AG409" s="132"/>
      <c r="AH409" s="132"/>
      <c r="AI409" s="132"/>
      <c r="AJ409" s="132"/>
      <c r="AK409" s="132"/>
      <c r="AL409" s="132"/>
      <c r="AM409" s="132"/>
      <c r="AN409" s="132"/>
      <c r="AO409" s="132"/>
      <c r="AP409" s="132"/>
      <c r="AQ409" s="141"/>
      <c r="AR409" s="132"/>
      <c r="AS409" s="132"/>
      <c r="AT409" s="47"/>
      <c r="AU409" s="7"/>
      <c r="AV409" s="134"/>
      <c r="AW409" s="132"/>
      <c r="AX409" s="132"/>
      <c r="AY409" s="132"/>
      <c r="AZ409" s="132"/>
      <c r="BA409" s="10"/>
      <c r="BB409" s="134"/>
      <c r="BC409" s="132"/>
      <c r="BD409" s="132"/>
      <c r="BE409" s="132"/>
      <c r="BF409" s="132"/>
      <c r="BG409" s="11"/>
      <c r="BH409" s="134"/>
      <c r="BI409" s="132"/>
      <c r="BJ409" s="132"/>
      <c r="BK409" s="132"/>
      <c r="BL409" s="132"/>
    </row>
    <row r="410" customFormat="false" ht="13.8" hidden="false" customHeight="false" outlineLevel="0" collapsed="false">
      <c r="A410" s="140"/>
      <c r="B410" s="140"/>
      <c r="C410" s="168"/>
      <c r="D410" s="132"/>
      <c r="E410" s="132"/>
      <c r="F410" s="132"/>
      <c r="G410" s="132"/>
      <c r="H410" s="132"/>
      <c r="I410" s="132"/>
      <c r="J410" s="132"/>
      <c r="K410" s="132"/>
      <c r="L410" s="132"/>
      <c r="M410" s="132"/>
      <c r="N410" s="140"/>
      <c r="O410" s="132"/>
      <c r="P410" s="132"/>
      <c r="Q410" s="132"/>
      <c r="R410" s="132"/>
      <c r="S410" s="132"/>
      <c r="T410" s="132"/>
      <c r="U410" s="132"/>
      <c r="V410" s="132"/>
      <c r="W410" s="132"/>
      <c r="X410" s="132"/>
      <c r="Y410" s="132"/>
      <c r="Z410" s="132"/>
      <c r="AA410" s="132"/>
      <c r="AB410" s="132"/>
      <c r="AC410" s="132"/>
      <c r="AD410" s="132"/>
      <c r="AE410" s="132"/>
      <c r="AF410" s="132"/>
      <c r="AG410" s="132"/>
      <c r="AH410" s="132"/>
      <c r="AI410" s="132"/>
      <c r="AJ410" s="132"/>
      <c r="AK410" s="132"/>
      <c r="AL410" s="132"/>
      <c r="AM410" s="132"/>
      <c r="AN410" s="132"/>
      <c r="AO410" s="132"/>
      <c r="AP410" s="132"/>
      <c r="AQ410" s="141"/>
      <c r="AR410" s="132"/>
      <c r="AS410" s="132"/>
      <c r="AT410" s="47"/>
      <c r="AU410" s="7"/>
      <c r="AV410" s="134"/>
      <c r="AW410" s="132"/>
      <c r="AX410" s="132"/>
      <c r="AY410" s="132"/>
      <c r="AZ410" s="132"/>
      <c r="BA410" s="10"/>
      <c r="BB410" s="134"/>
      <c r="BC410" s="132"/>
      <c r="BD410" s="132"/>
      <c r="BE410" s="132"/>
      <c r="BF410" s="132"/>
      <c r="BG410" s="11"/>
      <c r="BH410" s="134"/>
      <c r="BI410" s="132"/>
      <c r="BJ410" s="132"/>
      <c r="BK410" s="132"/>
      <c r="BL410" s="132"/>
    </row>
    <row r="411" customFormat="false" ht="13.8" hidden="false" customHeight="false" outlineLevel="0" collapsed="false">
      <c r="A411" s="140"/>
      <c r="B411" s="140"/>
      <c r="C411" s="168"/>
      <c r="D411" s="132"/>
      <c r="E411" s="132"/>
      <c r="F411" s="132"/>
      <c r="G411" s="132"/>
      <c r="H411" s="132"/>
      <c r="I411" s="132"/>
      <c r="J411" s="132"/>
      <c r="K411" s="132"/>
      <c r="L411" s="132"/>
      <c r="M411" s="132"/>
      <c r="N411" s="140"/>
      <c r="O411" s="132"/>
      <c r="P411" s="132"/>
      <c r="Q411" s="132"/>
      <c r="R411" s="132"/>
      <c r="S411" s="132"/>
      <c r="T411" s="132"/>
      <c r="U411" s="132"/>
      <c r="V411" s="132"/>
      <c r="W411" s="132"/>
      <c r="X411" s="132"/>
      <c r="Y411" s="132"/>
      <c r="Z411" s="132"/>
      <c r="AA411" s="132"/>
      <c r="AB411" s="132"/>
      <c r="AC411" s="132"/>
      <c r="AD411" s="132"/>
      <c r="AE411" s="132"/>
      <c r="AF411" s="132"/>
      <c r="AG411" s="132"/>
      <c r="AH411" s="132"/>
      <c r="AI411" s="132"/>
      <c r="AJ411" s="132"/>
      <c r="AK411" s="132"/>
      <c r="AL411" s="132"/>
      <c r="AM411" s="132"/>
      <c r="AN411" s="132"/>
      <c r="AO411" s="132"/>
      <c r="AP411" s="132"/>
      <c r="AQ411" s="141"/>
      <c r="AR411" s="132"/>
      <c r="AS411" s="132"/>
      <c r="AT411" s="47"/>
      <c r="AU411" s="7"/>
      <c r="AV411" s="134"/>
      <c r="AW411" s="132"/>
      <c r="AX411" s="132"/>
      <c r="AY411" s="132"/>
      <c r="AZ411" s="132"/>
      <c r="BA411" s="10"/>
      <c r="BB411" s="134"/>
      <c r="BC411" s="132"/>
      <c r="BD411" s="132"/>
      <c r="BE411" s="132"/>
      <c r="BF411" s="132"/>
      <c r="BG411" s="11"/>
      <c r="BH411" s="134"/>
      <c r="BI411" s="132"/>
      <c r="BJ411" s="132"/>
      <c r="BK411" s="132"/>
      <c r="BL411" s="132"/>
    </row>
    <row r="412" customFormat="false" ht="13.8" hidden="false" customHeight="false" outlineLevel="0" collapsed="false">
      <c r="A412" s="140"/>
      <c r="B412" s="140"/>
      <c r="C412" s="168"/>
      <c r="D412" s="132"/>
      <c r="E412" s="132"/>
      <c r="F412" s="132"/>
      <c r="G412" s="132"/>
      <c r="H412" s="132"/>
      <c r="I412" s="132"/>
      <c r="J412" s="132"/>
      <c r="K412" s="132"/>
      <c r="L412" s="132"/>
      <c r="M412" s="132"/>
      <c r="N412" s="140"/>
      <c r="O412" s="132"/>
      <c r="P412" s="132"/>
      <c r="Q412" s="132"/>
      <c r="R412" s="132"/>
      <c r="S412" s="132"/>
      <c r="T412" s="132"/>
      <c r="U412" s="132"/>
      <c r="V412" s="132"/>
      <c r="W412" s="132"/>
      <c r="X412" s="132"/>
      <c r="Y412" s="132"/>
      <c r="Z412" s="132"/>
      <c r="AA412" s="132"/>
      <c r="AB412" s="132"/>
      <c r="AC412" s="132"/>
      <c r="AD412" s="132"/>
      <c r="AE412" s="132"/>
      <c r="AF412" s="132"/>
      <c r="AG412" s="132"/>
      <c r="AH412" s="132"/>
      <c r="AI412" s="132"/>
      <c r="AJ412" s="132"/>
      <c r="AK412" s="132"/>
      <c r="AL412" s="132"/>
      <c r="AM412" s="132"/>
      <c r="AN412" s="132"/>
      <c r="AO412" s="132"/>
      <c r="AP412" s="132"/>
      <c r="AQ412" s="141"/>
      <c r="AR412" s="132"/>
      <c r="AS412" s="132"/>
      <c r="AT412" s="47"/>
      <c r="AU412" s="7"/>
      <c r="AV412" s="134"/>
      <c r="AW412" s="132"/>
      <c r="AX412" s="132"/>
      <c r="AY412" s="132"/>
      <c r="AZ412" s="132"/>
      <c r="BA412" s="10"/>
      <c r="BB412" s="134"/>
      <c r="BC412" s="132"/>
      <c r="BD412" s="132"/>
      <c r="BE412" s="132"/>
      <c r="BF412" s="132"/>
      <c r="BG412" s="11"/>
      <c r="BH412" s="134"/>
      <c r="BI412" s="132"/>
      <c r="BJ412" s="132"/>
      <c r="BK412" s="132"/>
      <c r="BL412" s="132"/>
    </row>
    <row r="413" customFormat="false" ht="13.8" hidden="false" customHeight="false" outlineLevel="0" collapsed="false">
      <c r="A413" s="140"/>
      <c r="B413" s="140"/>
      <c r="C413" s="168"/>
      <c r="D413" s="132"/>
      <c r="E413" s="132"/>
      <c r="F413" s="132"/>
      <c r="G413" s="132"/>
      <c r="H413" s="132"/>
      <c r="I413" s="132"/>
      <c r="J413" s="132"/>
      <c r="K413" s="132"/>
      <c r="L413" s="132"/>
      <c r="M413" s="132"/>
      <c r="N413" s="140"/>
      <c r="O413" s="132"/>
      <c r="P413" s="132"/>
      <c r="Q413" s="132"/>
      <c r="R413" s="132"/>
      <c r="S413" s="132"/>
      <c r="T413" s="132"/>
      <c r="U413" s="132"/>
      <c r="V413" s="132"/>
      <c r="W413" s="132"/>
      <c r="X413" s="132"/>
      <c r="Y413" s="132"/>
      <c r="Z413" s="132"/>
      <c r="AA413" s="132"/>
      <c r="AB413" s="132"/>
      <c r="AC413" s="132"/>
      <c r="AD413" s="132"/>
      <c r="AE413" s="132"/>
      <c r="AF413" s="132"/>
      <c r="AG413" s="132"/>
      <c r="AH413" s="132"/>
      <c r="AI413" s="132"/>
      <c r="AJ413" s="132"/>
      <c r="AK413" s="132"/>
      <c r="AL413" s="132"/>
      <c r="AM413" s="132"/>
      <c r="AN413" s="132"/>
      <c r="AO413" s="132"/>
      <c r="AP413" s="132"/>
      <c r="AQ413" s="141"/>
      <c r="AR413" s="132"/>
      <c r="AS413" s="132"/>
      <c r="AT413" s="47"/>
      <c r="AU413" s="7"/>
      <c r="AV413" s="134"/>
      <c r="AW413" s="132"/>
      <c r="AX413" s="132"/>
      <c r="AY413" s="132"/>
      <c r="AZ413" s="132"/>
      <c r="BA413" s="10"/>
      <c r="BB413" s="134"/>
      <c r="BC413" s="132"/>
      <c r="BD413" s="132"/>
      <c r="BE413" s="132"/>
      <c r="BF413" s="132"/>
      <c r="BG413" s="11"/>
      <c r="BH413" s="134"/>
      <c r="BI413" s="132"/>
      <c r="BJ413" s="132"/>
      <c r="BK413" s="132"/>
      <c r="BL413" s="132"/>
    </row>
    <row r="414" customFormat="false" ht="13.8" hidden="false" customHeight="false" outlineLevel="0" collapsed="false">
      <c r="A414" s="140"/>
      <c r="B414" s="140"/>
      <c r="C414" s="168"/>
      <c r="D414" s="132"/>
      <c r="E414" s="132"/>
      <c r="F414" s="132"/>
      <c r="G414" s="132"/>
      <c r="H414" s="132"/>
      <c r="I414" s="132"/>
      <c r="J414" s="132"/>
      <c r="K414" s="132"/>
      <c r="L414" s="132"/>
      <c r="M414" s="132"/>
      <c r="N414" s="140"/>
      <c r="O414" s="132"/>
      <c r="P414" s="132"/>
      <c r="Q414" s="132"/>
      <c r="R414" s="132"/>
      <c r="S414" s="132"/>
      <c r="T414" s="132"/>
      <c r="U414" s="132"/>
      <c r="V414" s="132"/>
      <c r="W414" s="132"/>
      <c r="X414" s="132"/>
      <c r="Y414" s="132"/>
      <c r="Z414" s="132"/>
      <c r="AA414" s="132"/>
      <c r="AB414" s="132"/>
      <c r="AC414" s="132"/>
      <c r="AD414" s="132"/>
      <c r="AE414" s="132"/>
      <c r="AF414" s="132"/>
      <c r="AG414" s="132"/>
      <c r="AH414" s="132"/>
      <c r="AI414" s="132"/>
      <c r="AJ414" s="132"/>
      <c r="AK414" s="132"/>
      <c r="AL414" s="132"/>
      <c r="AM414" s="132"/>
      <c r="AN414" s="132"/>
      <c r="AO414" s="132"/>
      <c r="AP414" s="132"/>
      <c r="AQ414" s="141"/>
      <c r="AR414" s="132"/>
      <c r="AS414" s="132"/>
      <c r="AT414" s="47"/>
      <c r="AU414" s="7"/>
      <c r="AV414" s="134"/>
      <c r="AW414" s="132"/>
      <c r="AX414" s="132"/>
      <c r="AY414" s="132"/>
      <c r="AZ414" s="132"/>
      <c r="BA414" s="10"/>
      <c r="BB414" s="134"/>
      <c r="BC414" s="132"/>
      <c r="BD414" s="132"/>
      <c r="BE414" s="132"/>
      <c r="BF414" s="132"/>
      <c r="BG414" s="11"/>
      <c r="BH414" s="134"/>
      <c r="BI414" s="132"/>
      <c r="BJ414" s="132"/>
      <c r="BK414" s="132"/>
      <c r="BL414" s="132"/>
    </row>
    <row r="415" customFormat="false" ht="13.8" hidden="false" customHeight="false" outlineLevel="0" collapsed="false">
      <c r="A415" s="140"/>
      <c r="B415" s="140"/>
      <c r="C415" s="168"/>
      <c r="D415" s="132"/>
      <c r="E415" s="132"/>
      <c r="F415" s="132"/>
      <c r="G415" s="132"/>
      <c r="H415" s="132"/>
      <c r="I415" s="132"/>
      <c r="J415" s="132"/>
      <c r="K415" s="132"/>
      <c r="L415" s="132"/>
      <c r="M415" s="132"/>
      <c r="N415" s="140"/>
      <c r="O415" s="132"/>
      <c r="P415" s="132"/>
      <c r="Q415" s="132"/>
      <c r="R415" s="132"/>
      <c r="S415" s="132"/>
      <c r="T415" s="132"/>
      <c r="U415" s="132"/>
      <c r="V415" s="132"/>
      <c r="W415" s="132"/>
      <c r="X415" s="132"/>
      <c r="Y415" s="132"/>
      <c r="Z415" s="132"/>
      <c r="AA415" s="132"/>
      <c r="AB415" s="132"/>
      <c r="AC415" s="132"/>
      <c r="AD415" s="132"/>
      <c r="AE415" s="132"/>
      <c r="AF415" s="132"/>
      <c r="AG415" s="132"/>
      <c r="AH415" s="132"/>
      <c r="AI415" s="132"/>
      <c r="AJ415" s="132"/>
      <c r="AK415" s="132"/>
      <c r="AL415" s="132"/>
      <c r="AM415" s="132"/>
      <c r="AN415" s="132"/>
      <c r="AO415" s="132"/>
      <c r="AP415" s="132"/>
      <c r="AQ415" s="141"/>
      <c r="AR415" s="132"/>
      <c r="AS415" s="132"/>
      <c r="AT415" s="47"/>
      <c r="AU415" s="7"/>
      <c r="AV415" s="134"/>
      <c r="AW415" s="132"/>
      <c r="AX415" s="132"/>
      <c r="AY415" s="132"/>
      <c r="AZ415" s="132"/>
      <c r="BA415" s="10"/>
      <c r="BB415" s="134"/>
      <c r="BC415" s="132"/>
      <c r="BD415" s="132"/>
      <c r="BE415" s="132"/>
      <c r="BF415" s="132"/>
      <c r="BG415" s="11"/>
      <c r="BH415" s="134"/>
      <c r="BI415" s="132"/>
      <c r="BJ415" s="132"/>
      <c r="BK415" s="132"/>
      <c r="BL415" s="132"/>
    </row>
    <row r="416" customFormat="false" ht="13.8" hidden="false" customHeight="false" outlineLevel="0" collapsed="false">
      <c r="A416" s="140"/>
      <c r="B416" s="140"/>
      <c r="C416" s="168"/>
      <c r="D416" s="132"/>
      <c r="E416" s="132"/>
      <c r="F416" s="132"/>
      <c r="G416" s="132"/>
      <c r="H416" s="132"/>
      <c r="I416" s="132"/>
      <c r="J416" s="132"/>
      <c r="K416" s="132"/>
      <c r="L416" s="132"/>
      <c r="M416" s="132"/>
      <c r="N416" s="140"/>
      <c r="O416" s="132"/>
      <c r="P416" s="132"/>
      <c r="Q416" s="132"/>
      <c r="R416" s="132"/>
      <c r="S416" s="132"/>
      <c r="T416" s="132"/>
      <c r="U416" s="132"/>
      <c r="V416" s="132"/>
      <c r="W416" s="132"/>
      <c r="X416" s="132"/>
      <c r="Y416" s="132"/>
      <c r="Z416" s="132"/>
      <c r="AA416" s="132"/>
      <c r="AB416" s="132"/>
      <c r="AC416" s="132"/>
      <c r="AD416" s="132"/>
      <c r="AE416" s="132"/>
      <c r="AF416" s="132"/>
      <c r="AG416" s="132"/>
      <c r="AH416" s="132"/>
      <c r="AI416" s="132"/>
      <c r="AJ416" s="132"/>
      <c r="AK416" s="132"/>
      <c r="AL416" s="132"/>
      <c r="AM416" s="132"/>
      <c r="AN416" s="132"/>
      <c r="AO416" s="132"/>
      <c r="AP416" s="132"/>
      <c r="AQ416" s="141"/>
      <c r="AR416" s="132"/>
      <c r="AS416" s="132"/>
      <c r="AT416" s="47"/>
      <c r="AU416" s="7"/>
      <c r="AV416" s="134"/>
      <c r="AW416" s="132"/>
      <c r="AX416" s="132"/>
      <c r="AY416" s="132"/>
      <c r="AZ416" s="132"/>
      <c r="BA416" s="10"/>
      <c r="BB416" s="134"/>
      <c r="BC416" s="132"/>
      <c r="BD416" s="132"/>
      <c r="BE416" s="132"/>
      <c r="BF416" s="132"/>
      <c r="BG416" s="11"/>
      <c r="BH416" s="134"/>
      <c r="BI416" s="132"/>
      <c r="BJ416" s="132"/>
      <c r="BK416" s="132"/>
      <c r="BL416" s="132"/>
    </row>
    <row r="417" customFormat="false" ht="13.8" hidden="false" customHeight="false" outlineLevel="0" collapsed="false">
      <c r="A417" s="140"/>
      <c r="B417" s="140"/>
      <c r="C417" s="168"/>
      <c r="D417" s="132"/>
      <c r="E417" s="132"/>
      <c r="F417" s="132"/>
      <c r="G417" s="132"/>
      <c r="H417" s="132"/>
      <c r="I417" s="132"/>
      <c r="J417" s="132"/>
      <c r="K417" s="132"/>
      <c r="L417" s="132"/>
      <c r="M417" s="132"/>
      <c r="N417" s="140"/>
      <c r="O417" s="132"/>
      <c r="P417" s="132"/>
      <c r="Q417" s="132"/>
      <c r="R417" s="132"/>
      <c r="S417" s="132"/>
      <c r="T417" s="132"/>
      <c r="U417" s="132"/>
      <c r="V417" s="132"/>
      <c r="W417" s="132"/>
      <c r="X417" s="132"/>
      <c r="Y417" s="132"/>
      <c r="Z417" s="132"/>
      <c r="AA417" s="132"/>
      <c r="AB417" s="132"/>
      <c r="AC417" s="132"/>
      <c r="AD417" s="132"/>
      <c r="AE417" s="132"/>
      <c r="AF417" s="132"/>
      <c r="AG417" s="132"/>
      <c r="AH417" s="132"/>
      <c r="AI417" s="132"/>
      <c r="AJ417" s="132"/>
      <c r="AK417" s="132"/>
      <c r="AL417" s="132"/>
      <c r="AM417" s="132"/>
      <c r="AN417" s="132"/>
      <c r="AO417" s="132"/>
      <c r="AP417" s="132"/>
      <c r="AQ417" s="141"/>
      <c r="AR417" s="132"/>
      <c r="AS417" s="132"/>
      <c r="AT417" s="47"/>
      <c r="AU417" s="7"/>
      <c r="AV417" s="134"/>
      <c r="AW417" s="132"/>
      <c r="AX417" s="132"/>
      <c r="AY417" s="132"/>
      <c r="AZ417" s="132"/>
      <c r="BA417" s="10"/>
      <c r="BB417" s="134"/>
      <c r="BC417" s="132"/>
      <c r="BD417" s="132"/>
      <c r="BE417" s="132"/>
      <c r="BF417" s="132"/>
      <c r="BG417" s="11"/>
      <c r="BH417" s="134"/>
      <c r="BI417" s="132"/>
      <c r="BJ417" s="132"/>
      <c r="BK417" s="132"/>
      <c r="BL417" s="132"/>
    </row>
    <row r="418" customFormat="false" ht="13.8" hidden="false" customHeight="false" outlineLevel="0" collapsed="false">
      <c r="A418" s="140"/>
      <c r="B418" s="140"/>
      <c r="C418" s="168"/>
      <c r="D418" s="132"/>
      <c r="E418" s="132"/>
      <c r="F418" s="132"/>
      <c r="G418" s="132"/>
      <c r="H418" s="132"/>
      <c r="I418" s="132"/>
      <c r="J418" s="132"/>
      <c r="K418" s="132"/>
      <c r="L418" s="132"/>
      <c r="M418" s="132"/>
      <c r="N418" s="140"/>
      <c r="O418" s="132"/>
      <c r="P418" s="132"/>
      <c r="Q418" s="132"/>
      <c r="R418" s="132"/>
      <c r="S418" s="132"/>
      <c r="T418" s="132"/>
      <c r="U418" s="132"/>
      <c r="V418" s="132"/>
      <c r="W418" s="132"/>
      <c r="X418" s="132"/>
      <c r="Y418" s="132"/>
      <c r="Z418" s="132"/>
      <c r="AA418" s="132"/>
      <c r="AB418" s="132"/>
      <c r="AC418" s="132"/>
      <c r="AD418" s="132"/>
      <c r="AE418" s="132"/>
      <c r="AF418" s="132"/>
      <c r="AG418" s="132"/>
      <c r="AH418" s="132"/>
      <c r="AI418" s="132"/>
      <c r="AJ418" s="132"/>
      <c r="AK418" s="132"/>
      <c r="AL418" s="132"/>
      <c r="AM418" s="132"/>
      <c r="AN418" s="132"/>
      <c r="AO418" s="132"/>
      <c r="AP418" s="132"/>
      <c r="AQ418" s="141"/>
      <c r="AR418" s="132"/>
      <c r="AS418" s="132"/>
      <c r="AT418" s="47"/>
      <c r="AU418" s="7"/>
      <c r="AV418" s="134"/>
      <c r="AW418" s="132"/>
      <c r="AX418" s="132"/>
      <c r="AY418" s="132"/>
      <c r="AZ418" s="132"/>
      <c r="BA418" s="10"/>
      <c r="BB418" s="134"/>
      <c r="BC418" s="132"/>
      <c r="BD418" s="132"/>
      <c r="BE418" s="132"/>
      <c r="BF418" s="132"/>
      <c r="BG418" s="11"/>
      <c r="BH418" s="134"/>
      <c r="BI418" s="132"/>
      <c r="BJ418" s="132"/>
      <c r="BK418" s="132"/>
      <c r="BL418" s="132"/>
    </row>
    <row r="419" customFormat="false" ht="13.8" hidden="false" customHeight="false" outlineLevel="0" collapsed="false">
      <c r="A419" s="140"/>
      <c r="B419" s="140"/>
      <c r="C419" s="168"/>
      <c r="D419" s="132"/>
      <c r="E419" s="132"/>
      <c r="F419" s="132"/>
      <c r="G419" s="132"/>
      <c r="H419" s="132"/>
      <c r="I419" s="132"/>
      <c r="J419" s="132"/>
      <c r="K419" s="132"/>
      <c r="L419" s="132"/>
      <c r="M419" s="132"/>
      <c r="N419" s="140"/>
      <c r="O419" s="132"/>
      <c r="P419" s="132"/>
      <c r="Q419" s="132"/>
      <c r="R419" s="132"/>
      <c r="S419" s="132"/>
      <c r="T419" s="132"/>
      <c r="U419" s="132"/>
      <c r="V419" s="132"/>
      <c r="W419" s="132"/>
      <c r="X419" s="132"/>
      <c r="Y419" s="132"/>
      <c r="Z419" s="132"/>
      <c r="AA419" s="132"/>
      <c r="AB419" s="132"/>
      <c r="AC419" s="132"/>
      <c r="AD419" s="132"/>
      <c r="AE419" s="132"/>
      <c r="AF419" s="132"/>
      <c r="AG419" s="132"/>
      <c r="AH419" s="132"/>
      <c r="AI419" s="132"/>
      <c r="AJ419" s="132"/>
      <c r="AK419" s="132"/>
      <c r="AL419" s="132"/>
      <c r="AM419" s="132"/>
      <c r="AN419" s="132"/>
      <c r="AO419" s="132"/>
      <c r="AP419" s="132"/>
      <c r="AQ419" s="141"/>
      <c r="AR419" s="132"/>
      <c r="AS419" s="132"/>
      <c r="AT419" s="47"/>
      <c r="AU419" s="7"/>
      <c r="AV419" s="134"/>
      <c r="AW419" s="132"/>
      <c r="AX419" s="132"/>
      <c r="AY419" s="132"/>
      <c r="AZ419" s="132"/>
      <c r="BA419" s="10"/>
      <c r="BB419" s="134"/>
      <c r="BC419" s="132"/>
      <c r="BD419" s="132"/>
      <c r="BE419" s="132"/>
      <c r="BF419" s="132"/>
      <c r="BG419" s="11"/>
      <c r="BH419" s="134"/>
      <c r="BI419" s="132"/>
      <c r="BJ419" s="132"/>
      <c r="BK419" s="132"/>
      <c r="BL419" s="132"/>
    </row>
    <row r="420" customFormat="false" ht="13.8" hidden="false" customHeight="false" outlineLevel="0" collapsed="false">
      <c r="A420" s="140"/>
      <c r="B420" s="140"/>
      <c r="C420" s="168"/>
      <c r="D420" s="132"/>
      <c r="E420" s="132"/>
      <c r="F420" s="132"/>
      <c r="G420" s="132"/>
      <c r="H420" s="132"/>
      <c r="I420" s="132"/>
      <c r="J420" s="132"/>
      <c r="K420" s="132"/>
      <c r="L420" s="132"/>
      <c r="M420" s="132"/>
      <c r="N420" s="140"/>
      <c r="O420" s="132"/>
      <c r="P420" s="132"/>
      <c r="Q420" s="132"/>
      <c r="R420" s="132"/>
      <c r="S420" s="132"/>
      <c r="T420" s="132"/>
      <c r="U420" s="132"/>
      <c r="V420" s="132"/>
      <c r="W420" s="132"/>
      <c r="X420" s="132"/>
      <c r="Y420" s="132"/>
      <c r="Z420" s="132"/>
      <c r="AA420" s="132"/>
      <c r="AB420" s="132"/>
      <c r="AC420" s="132"/>
      <c r="AD420" s="132"/>
      <c r="AE420" s="132"/>
      <c r="AF420" s="132"/>
      <c r="AG420" s="132"/>
      <c r="AH420" s="132"/>
      <c r="AI420" s="132"/>
      <c r="AJ420" s="132"/>
      <c r="AK420" s="132"/>
      <c r="AL420" s="132"/>
      <c r="AM420" s="132"/>
      <c r="AN420" s="132"/>
      <c r="AO420" s="132"/>
      <c r="AP420" s="132"/>
      <c r="AQ420" s="141"/>
      <c r="AR420" s="132"/>
      <c r="AS420" s="132"/>
      <c r="AT420" s="47"/>
      <c r="AU420" s="7"/>
      <c r="AV420" s="134"/>
      <c r="AW420" s="132"/>
      <c r="AX420" s="132"/>
      <c r="AY420" s="132"/>
      <c r="AZ420" s="132"/>
      <c r="BA420" s="10"/>
      <c r="BB420" s="134"/>
      <c r="BC420" s="132"/>
      <c r="BD420" s="132"/>
      <c r="BE420" s="132"/>
      <c r="BF420" s="132"/>
      <c r="BG420" s="11"/>
      <c r="BH420" s="134"/>
      <c r="BI420" s="132"/>
      <c r="BJ420" s="132"/>
      <c r="BK420" s="132"/>
      <c r="BL420" s="132"/>
    </row>
    <row r="421" customFormat="false" ht="13.8" hidden="false" customHeight="false" outlineLevel="0" collapsed="false">
      <c r="A421" s="140"/>
      <c r="B421" s="140"/>
      <c r="C421" s="168"/>
      <c r="D421" s="132"/>
      <c r="E421" s="132"/>
      <c r="F421" s="132"/>
      <c r="G421" s="132"/>
      <c r="H421" s="132"/>
      <c r="I421" s="132"/>
      <c r="J421" s="132"/>
      <c r="K421" s="132"/>
      <c r="L421" s="132"/>
      <c r="M421" s="132"/>
      <c r="N421" s="140"/>
      <c r="O421" s="132"/>
      <c r="P421" s="132"/>
      <c r="Q421" s="132"/>
      <c r="R421" s="132"/>
      <c r="S421" s="132"/>
      <c r="T421" s="132"/>
      <c r="U421" s="132"/>
      <c r="V421" s="132"/>
      <c r="W421" s="132"/>
      <c r="X421" s="132"/>
      <c r="Y421" s="132"/>
      <c r="Z421" s="132"/>
      <c r="AA421" s="132"/>
      <c r="AB421" s="132"/>
      <c r="AC421" s="132"/>
      <c r="AD421" s="132"/>
      <c r="AE421" s="132"/>
      <c r="AF421" s="132"/>
      <c r="AG421" s="132"/>
      <c r="AH421" s="132"/>
      <c r="AI421" s="132"/>
      <c r="AJ421" s="132"/>
      <c r="AK421" s="132"/>
      <c r="AL421" s="132"/>
      <c r="AM421" s="132"/>
      <c r="AN421" s="132"/>
      <c r="AO421" s="132"/>
      <c r="AP421" s="132"/>
      <c r="AQ421" s="141"/>
      <c r="AR421" s="132"/>
      <c r="AS421" s="132"/>
      <c r="AT421" s="47"/>
      <c r="AU421" s="7"/>
      <c r="AV421" s="134"/>
      <c r="AW421" s="132"/>
      <c r="AX421" s="132"/>
      <c r="AY421" s="132"/>
      <c r="AZ421" s="132"/>
      <c r="BA421" s="10"/>
      <c r="BB421" s="134"/>
      <c r="BC421" s="132"/>
      <c r="BD421" s="132"/>
      <c r="BE421" s="132"/>
      <c r="BF421" s="132"/>
      <c r="BG421" s="11"/>
      <c r="BH421" s="134"/>
      <c r="BI421" s="132"/>
      <c r="BJ421" s="132"/>
      <c r="BK421" s="132"/>
      <c r="BL421" s="132"/>
    </row>
    <row r="422" customFormat="false" ht="13.8" hidden="false" customHeight="false" outlineLevel="0" collapsed="false">
      <c r="A422" s="140"/>
      <c r="B422" s="140"/>
      <c r="C422" s="168"/>
      <c r="D422" s="132"/>
      <c r="E422" s="132"/>
      <c r="F422" s="132"/>
      <c r="G422" s="132"/>
      <c r="H422" s="132"/>
      <c r="I422" s="132"/>
      <c r="J422" s="132"/>
      <c r="K422" s="132"/>
      <c r="L422" s="132"/>
      <c r="M422" s="132"/>
      <c r="N422" s="140"/>
      <c r="O422" s="132"/>
      <c r="P422" s="132"/>
      <c r="Q422" s="132"/>
      <c r="R422" s="132"/>
      <c r="S422" s="132"/>
      <c r="T422" s="132"/>
      <c r="U422" s="132"/>
      <c r="V422" s="132"/>
      <c r="W422" s="132"/>
      <c r="X422" s="132"/>
      <c r="Y422" s="132"/>
      <c r="Z422" s="132"/>
      <c r="AA422" s="132"/>
      <c r="AB422" s="132"/>
      <c r="AC422" s="132"/>
      <c r="AD422" s="132"/>
      <c r="AE422" s="132"/>
      <c r="AF422" s="132"/>
      <c r="AG422" s="132"/>
      <c r="AH422" s="132"/>
      <c r="AI422" s="132"/>
      <c r="AJ422" s="132"/>
      <c r="AK422" s="132"/>
      <c r="AL422" s="132"/>
      <c r="AM422" s="132"/>
      <c r="AN422" s="132"/>
      <c r="AO422" s="132"/>
      <c r="AP422" s="132"/>
      <c r="AQ422" s="141"/>
      <c r="AR422" s="132"/>
      <c r="AS422" s="132"/>
      <c r="AT422" s="47"/>
      <c r="AU422" s="7"/>
      <c r="AV422" s="134"/>
      <c r="AW422" s="132"/>
      <c r="AX422" s="132"/>
      <c r="AY422" s="132"/>
      <c r="AZ422" s="132"/>
      <c r="BA422" s="10"/>
      <c r="BB422" s="134"/>
      <c r="BC422" s="132"/>
      <c r="BD422" s="132"/>
      <c r="BE422" s="132"/>
      <c r="BF422" s="132"/>
      <c r="BG422" s="11"/>
      <c r="BH422" s="134"/>
      <c r="BI422" s="132"/>
      <c r="BJ422" s="132"/>
      <c r="BK422" s="132"/>
      <c r="BL422" s="132"/>
    </row>
    <row r="423" customFormat="false" ht="13.8" hidden="false" customHeight="false" outlineLevel="0" collapsed="false">
      <c r="A423" s="140"/>
      <c r="B423" s="140"/>
      <c r="C423" s="168"/>
      <c r="D423" s="132"/>
      <c r="E423" s="132"/>
      <c r="F423" s="132"/>
      <c r="G423" s="132"/>
      <c r="H423" s="132"/>
      <c r="I423" s="132"/>
      <c r="J423" s="132"/>
      <c r="K423" s="132"/>
      <c r="L423" s="132"/>
      <c r="M423" s="132"/>
      <c r="N423" s="140"/>
      <c r="O423" s="132"/>
      <c r="P423" s="132"/>
      <c r="Q423" s="132"/>
      <c r="R423" s="132"/>
      <c r="S423" s="132"/>
      <c r="T423" s="132"/>
      <c r="U423" s="132"/>
      <c r="V423" s="132"/>
      <c r="W423" s="132"/>
      <c r="X423" s="132"/>
      <c r="Y423" s="132"/>
      <c r="Z423" s="132"/>
      <c r="AA423" s="132"/>
      <c r="AB423" s="132"/>
      <c r="AC423" s="132"/>
      <c r="AD423" s="132"/>
      <c r="AE423" s="132"/>
      <c r="AF423" s="132"/>
      <c r="AG423" s="132"/>
      <c r="AH423" s="132"/>
      <c r="AI423" s="132"/>
      <c r="AJ423" s="132"/>
      <c r="AK423" s="132"/>
      <c r="AL423" s="132"/>
      <c r="AM423" s="132"/>
      <c r="AN423" s="132"/>
      <c r="AO423" s="132"/>
      <c r="AP423" s="132"/>
      <c r="AQ423" s="141"/>
      <c r="AR423" s="132"/>
      <c r="AS423" s="132"/>
      <c r="AT423" s="47"/>
      <c r="AU423" s="7"/>
      <c r="AV423" s="134"/>
      <c r="AW423" s="132"/>
      <c r="AX423" s="132"/>
      <c r="AY423" s="132"/>
      <c r="AZ423" s="132"/>
      <c r="BA423" s="10"/>
      <c r="BB423" s="134"/>
      <c r="BC423" s="132"/>
      <c r="BD423" s="132"/>
      <c r="BE423" s="132"/>
      <c r="BF423" s="132"/>
      <c r="BG423" s="11"/>
      <c r="BH423" s="134"/>
      <c r="BI423" s="132"/>
      <c r="BJ423" s="132"/>
      <c r="BK423" s="132"/>
      <c r="BL423" s="132"/>
    </row>
    <row r="424" customFormat="false" ht="13.8" hidden="false" customHeight="false" outlineLevel="0" collapsed="false">
      <c r="A424" s="140"/>
      <c r="B424" s="140"/>
      <c r="C424" s="168"/>
      <c r="D424" s="132"/>
      <c r="E424" s="132"/>
      <c r="F424" s="132"/>
      <c r="G424" s="132"/>
      <c r="H424" s="132"/>
      <c r="I424" s="132"/>
      <c r="J424" s="132"/>
      <c r="K424" s="132"/>
      <c r="L424" s="132"/>
      <c r="M424" s="132"/>
      <c r="N424" s="140"/>
      <c r="O424" s="132"/>
      <c r="P424" s="132"/>
      <c r="Q424" s="132"/>
      <c r="R424" s="132"/>
      <c r="S424" s="132"/>
      <c r="T424" s="132"/>
      <c r="U424" s="132"/>
      <c r="V424" s="132"/>
      <c r="W424" s="132"/>
      <c r="X424" s="132"/>
      <c r="Y424" s="132"/>
      <c r="Z424" s="132"/>
      <c r="AA424" s="132"/>
      <c r="AB424" s="132"/>
      <c r="AC424" s="132"/>
      <c r="AD424" s="132"/>
      <c r="AE424" s="132"/>
      <c r="AF424" s="132"/>
      <c r="AG424" s="132"/>
      <c r="AH424" s="132"/>
      <c r="AI424" s="132"/>
      <c r="AJ424" s="132"/>
      <c r="AK424" s="132"/>
      <c r="AL424" s="132"/>
      <c r="AM424" s="132"/>
      <c r="AN424" s="132"/>
      <c r="AO424" s="132"/>
      <c r="AP424" s="132"/>
      <c r="AQ424" s="141"/>
      <c r="AR424" s="132"/>
      <c r="AS424" s="132"/>
      <c r="AT424" s="47"/>
      <c r="AU424" s="7"/>
      <c r="AV424" s="134"/>
      <c r="AW424" s="132"/>
      <c r="AX424" s="132"/>
      <c r="AY424" s="132"/>
      <c r="AZ424" s="132"/>
      <c r="BA424" s="10"/>
      <c r="BB424" s="134"/>
      <c r="BC424" s="132"/>
      <c r="BD424" s="132"/>
      <c r="BE424" s="132"/>
      <c r="BF424" s="132"/>
      <c r="BG424" s="11"/>
      <c r="BH424" s="134"/>
      <c r="BI424" s="132"/>
      <c r="BJ424" s="132"/>
      <c r="BK424" s="132"/>
      <c r="BL424" s="132"/>
    </row>
    <row r="425" customFormat="false" ht="13.8" hidden="false" customHeight="false" outlineLevel="0" collapsed="false">
      <c r="A425" s="140"/>
      <c r="B425" s="140"/>
      <c r="C425" s="168"/>
      <c r="D425" s="132"/>
      <c r="E425" s="132"/>
      <c r="F425" s="132"/>
      <c r="G425" s="132"/>
      <c r="H425" s="132"/>
      <c r="I425" s="132"/>
      <c r="J425" s="132"/>
      <c r="K425" s="132"/>
      <c r="L425" s="132"/>
      <c r="M425" s="132"/>
      <c r="N425" s="140"/>
      <c r="O425" s="132"/>
      <c r="P425" s="132"/>
      <c r="Q425" s="132"/>
      <c r="R425" s="132"/>
      <c r="S425" s="132"/>
      <c r="T425" s="132"/>
      <c r="U425" s="132"/>
      <c r="V425" s="132"/>
      <c r="W425" s="132"/>
      <c r="X425" s="132"/>
      <c r="Y425" s="132"/>
      <c r="Z425" s="132"/>
      <c r="AA425" s="132"/>
      <c r="AB425" s="132"/>
      <c r="AC425" s="132"/>
      <c r="AD425" s="132"/>
      <c r="AE425" s="132"/>
      <c r="AF425" s="132"/>
      <c r="AG425" s="132"/>
      <c r="AH425" s="132"/>
      <c r="AI425" s="132"/>
      <c r="AJ425" s="132"/>
      <c r="AK425" s="132"/>
      <c r="AL425" s="132"/>
      <c r="AM425" s="132"/>
      <c r="AN425" s="132"/>
      <c r="AO425" s="132"/>
      <c r="AP425" s="132"/>
      <c r="AQ425" s="141"/>
      <c r="AR425" s="132"/>
      <c r="AS425" s="132"/>
      <c r="AT425" s="47"/>
      <c r="AU425" s="7"/>
      <c r="AV425" s="134"/>
      <c r="AW425" s="132"/>
      <c r="AX425" s="132"/>
      <c r="AY425" s="132"/>
      <c r="AZ425" s="132"/>
      <c r="BA425" s="10"/>
      <c r="BB425" s="134"/>
      <c r="BC425" s="132"/>
      <c r="BD425" s="132"/>
      <c r="BE425" s="132"/>
      <c r="BF425" s="132"/>
      <c r="BG425" s="11"/>
      <c r="BH425" s="134"/>
      <c r="BI425" s="132"/>
      <c r="BJ425" s="132"/>
      <c r="BK425" s="132"/>
      <c r="BL425" s="132"/>
    </row>
    <row r="426" customFormat="false" ht="13.8" hidden="false" customHeight="false" outlineLevel="0" collapsed="false">
      <c r="A426" s="140"/>
      <c r="B426" s="140"/>
      <c r="C426" s="168"/>
      <c r="D426" s="132"/>
      <c r="E426" s="132"/>
      <c r="F426" s="132"/>
      <c r="G426" s="132"/>
      <c r="H426" s="132"/>
      <c r="I426" s="132"/>
      <c r="J426" s="132"/>
      <c r="K426" s="132"/>
      <c r="L426" s="132"/>
      <c r="M426" s="132"/>
      <c r="N426" s="140"/>
      <c r="O426" s="132"/>
      <c r="P426" s="132"/>
      <c r="Q426" s="132"/>
      <c r="R426" s="132"/>
      <c r="S426" s="132"/>
      <c r="T426" s="132"/>
      <c r="U426" s="132"/>
      <c r="V426" s="132"/>
      <c r="W426" s="132"/>
      <c r="X426" s="132"/>
      <c r="Y426" s="132"/>
      <c r="Z426" s="132"/>
      <c r="AA426" s="132"/>
      <c r="AB426" s="132"/>
      <c r="AC426" s="132"/>
      <c r="AD426" s="132"/>
      <c r="AE426" s="132"/>
      <c r="AF426" s="132"/>
      <c r="AG426" s="132"/>
      <c r="AH426" s="132"/>
      <c r="AI426" s="132"/>
      <c r="AJ426" s="132"/>
      <c r="AK426" s="132"/>
      <c r="AL426" s="132"/>
      <c r="AM426" s="132"/>
      <c r="AN426" s="132"/>
      <c r="AO426" s="132"/>
      <c r="AP426" s="132"/>
      <c r="AQ426" s="141"/>
      <c r="AR426" s="132"/>
      <c r="AS426" s="132"/>
      <c r="AT426" s="47"/>
      <c r="AU426" s="7"/>
      <c r="AV426" s="134"/>
      <c r="AW426" s="132"/>
      <c r="AX426" s="132"/>
      <c r="AY426" s="132"/>
      <c r="AZ426" s="132"/>
      <c r="BA426" s="10"/>
      <c r="BB426" s="134"/>
      <c r="BC426" s="132"/>
      <c r="BD426" s="132"/>
      <c r="BE426" s="132"/>
      <c r="BF426" s="132"/>
      <c r="BG426" s="11"/>
      <c r="BH426" s="134"/>
      <c r="BI426" s="132"/>
      <c r="BJ426" s="132"/>
      <c r="BK426" s="132"/>
      <c r="BL426" s="132"/>
    </row>
    <row r="427" customFormat="false" ht="13.8" hidden="false" customHeight="false" outlineLevel="0" collapsed="false">
      <c r="A427" s="140"/>
      <c r="B427" s="140"/>
      <c r="C427" s="168"/>
      <c r="D427" s="132"/>
      <c r="E427" s="132"/>
      <c r="F427" s="132"/>
      <c r="G427" s="132"/>
      <c r="H427" s="132"/>
      <c r="I427" s="132"/>
      <c r="J427" s="132"/>
      <c r="K427" s="132"/>
      <c r="L427" s="132"/>
      <c r="M427" s="132"/>
      <c r="N427" s="140"/>
      <c r="O427" s="132"/>
      <c r="P427" s="132"/>
      <c r="Q427" s="132"/>
      <c r="R427" s="132"/>
      <c r="S427" s="132"/>
      <c r="T427" s="132"/>
      <c r="U427" s="132"/>
      <c r="V427" s="132"/>
      <c r="W427" s="132"/>
      <c r="X427" s="132"/>
      <c r="Y427" s="132"/>
      <c r="Z427" s="132"/>
      <c r="AA427" s="132"/>
      <c r="AB427" s="132"/>
      <c r="AC427" s="132"/>
      <c r="AD427" s="132"/>
      <c r="AE427" s="132"/>
      <c r="AF427" s="132"/>
      <c r="AG427" s="132"/>
      <c r="AH427" s="132"/>
      <c r="AI427" s="132"/>
      <c r="AJ427" s="132"/>
      <c r="AK427" s="132"/>
      <c r="AL427" s="132"/>
      <c r="AM427" s="132"/>
      <c r="AN427" s="132"/>
      <c r="AO427" s="132"/>
      <c r="AP427" s="132"/>
      <c r="AQ427" s="141"/>
      <c r="AR427" s="132"/>
      <c r="AS427" s="132"/>
      <c r="AT427" s="47"/>
      <c r="AU427" s="7"/>
      <c r="AV427" s="134"/>
      <c r="AW427" s="132"/>
      <c r="AX427" s="132"/>
      <c r="AY427" s="132"/>
      <c r="AZ427" s="132"/>
      <c r="BA427" s="10"/>
      <c r="BB427" s="134"/>
      <c r="BC427" s="132"/>
      <c r="BD427" s="132"/>
      <c r="BE427" s="132"/>
      <c r="BF427" s="132"/>
      <c r="BG427" s="11"/>
      <c r="BH427" s="134"/>
      <c r="BI427" s="132"/>
      <c r="BJ427" s="132"/>
      <c r="BK427" s="132"/>
      <c r="BL427" s="132"/>
    </row>
    <row r="428" customFormat="false" ht="13.8" hidden="false" customHeight="false" outlineLevel="0" collapsed="false">
      <c r="A428" s="140"/>
      <c r="B428" s="140"/>
      <c r="C428" s="168"/>
      <c r="D428" s="132"/>
      <c r="E428" s="132"/>
      <c r="F428" s="132"/>
      <c r="G428" s="132"/>
      <c r="H428" s="132"/>
      <c r="I428" s="132"/>
      <c r="J428" s="132"/>
      <c r="K428" s="132"/>
      <c r="L428" s="132"/>
      <c r="M428" s="132"/>
      <c r="N428" s="140"/>
      <c r="O428" s="132"/>
      <c r="P428" s="132"/>
      <c r="Q428" s="132"/>
      <c r="R428" s="132"/>
      <c r="S428" s="132"/>
      <c r="T428" s="132"/>
      <c r="U428" s="132"/>
      <c r="V428" s="132"/>
      <c r="W428" s="132"/>
      <c r="X428" s="132"/>
      <c r="Y428" s="132"/>
      <c r="Z428" s="132"/>
      <c r="AA428" s="132"/>
      <c r="AB428" s="132"/>
      <c r="AC428" s="132"/>
      <c r="AD428" s="132"/>
      <c r="AE428" s="132"/>
      <c r="AF428" s="132"/>
      <c r="AG428" s="132"/>
      <c r="AH428" s="132"/>
      <c r="AI428" s="132"/>
      <c r="AJ428" s="132"/>
      <c r="AK428" s="132"/>
      <c r="AL428" s="132"/>
      <c r="AM428" s="132"/>
      <c r="AN428" s="132"/>
      <c r="AO428" s="132"/>
      <c r="AP428" s="132"/>
      <c r="AQ428" s="141"/>
      <c r="AR428" s="132"/>
      <c r="AS428" s="132"/>
      <c r="AT428" s="47"/>
      <c r="AU428" s="7"/>
      <c r="AV428" s="134"/>
      <c r="AW428" s="132"/>
      <c r="AX428" s="132"/>
      <c r="AY428" s="132"/>
      <c r="AZ428" s="132"/>
      <c r="BA428" s="10"/>
      <c r="BB428" s="134"/>
      <c r="BC428" s="132"/>
      <c r="BD428" s="132"/>
      <c r="BE428" s="132"/>
      <c r="BF428" s="132"/>
      <c r="BG428" s="11"/>
      <c r="BH428" s="134"/>
      <c r="BI428" s="132"/>
      <c r="BJ428" s="132"/>
      <c r="BK428" s="132"/>
      <c r="BL428" s="132"/>
    </row>
    <row r="429" customFormat="false" ht="13.8" hidden="false" customHeight="false" outlineLevel="0" collapsed="false">
      <c r="A429" s="140"/>
      <c r="B429" s="140"/>
      <c r="C429" s="168"/>
      <c r="D429" s="132"/>
      <c r="E429" s="132"/>
      <c r="F429" s="132"/>
      <c r="G429" s="132"/>
      <c r="H429" s="132"/>
      <c r="I429" s="132"/>
      <c r="J429" s="132"/>
      <c r="K429" s="132"/>
      <c r="L429" s="132"/>
      <c r="M429" s="132"/>
      <c r="N429" s="140"/>
      <c r="O429" s="132"/>
      <c r="P429" s="132"/>
      <c r="Q429" s="132"/>
      <c r="R429" s="132"/>
      <c r="S429" s="132"/>
      <c r="T429" s="132"/>
      <c r="U429" s="132"/>
      <c r="V429" s="132"/>
      <c r="W429" s="132"/>
      <c r="X429" s="132"/>
      <c r="Y429" s="132"/>
      <c r="Z429" s="132"/>
      <c r="AA429" s="132"/>
      <c r="AB429" s="132"/>
      <c r="AC429" s="132"/>
      <c r="AD429" s="132"/>
      <c r="AE429" s="132"/>
      <c r="AF429" s="132"/>
      <c r="AG429" s="132"/>
      <c r="AH429" s="132"/>
      <c r="AI429" s="132"/>
      <c r="AJ429" s="132"/>
      <c r="AK429" s="132"/>
      <c r="AL429" s="132"/>
      <c r="AM429" s="132"/>
      <c r="AN429" s="132"/>
      <c r="AO429" s="132"/>
      <c r="AP429" s="132"/>
      <c r="AQ429" s="141"/>
      <c r="AR429" s="132"/>
      <c r="AS429" s="132"/>
      <c r="AT429" s="47"/>
      <c r="AU429" s="7"/>
      <c r="AV429" s="134"/>
      <c r="AW429" s="132"/>
      <c r="AX429" s="132"/>
      <c r="AY429" s="132"/>
      <c r="AZ429" s="132"/>
      <c r="BA429" s="10"/>
      <c r="BB429" s="134"/>
      <c r="BC429" s="132"/>
      <c r="BD429" s="132"/>
      <c r="BE429" s="132"/>
      <c r="BF429" s="132"/>
      <c r="BG429" s="11"/>
      <c r="BH429" s="134"/>
      <c r="BI429" s="132"/>
      <c r="BJ429" s="132"/>
      <c r="BK429" s="132"/>
      <c r="BL429" s="132"/>
    </row>
    <row r="430" customFormat="false" ht="13.8" hidden="false" customHeight="false" outlineLevel="0" collapsed="false">
      <c r="A430" s="140"/>
      <c r="B430" s="140"/>
      <c r="C430" s="168"/>
      <c r="D430" s="132"/>
      <c r="E430" s="132"/>
      <c r="F430" s="132"/>
      <c r="G430" s="132"/>
      <c r="H430" s="132"/>
      <c r="I430" s="132"/>
      <c r="J430" s="132"/>
      <c r="K430" s="132"/>
      <c r="L430" s="132"/>
      <c r="M430" s="132"/>
      <c r="N430" s="140"/>
      <c r="O430" s="132"/>
      <c r="P430" s="132"/>
      <c r="Q430" s="132"/>
      <c r="R430" s="132"/>
      <c r="S430" s="132"/>
      <c r="T430" s="132"/>
      <c r="U430" s="132"/>
      <c r="V430" s="132"/>
      <c r="W430" s="132"/>
      <c r="X430" s="132"/>
      <c r="Y430" s="132"/>
      <c r="Z430" s="132"/>
      <c r="AA430" s="132"/>
      <c r="AB430" s="132"/>
      <c r="AC430" s="132"/>
      <c r="AD430" s="132"/>
      <c r="AE430" s="132"/>
      <c r="AF430" s="132"/>
      <c r="AG430" s="132"/>
      <c r="AH430" s="132"/>
      <c r="AI430" s="132"/>
      <c r="AJ430" s="132"/>
      <c r="AK430" s="132"/>
      <c r="AL430" s="132"/>
      <c r="AM430" s="132"/>
      <c r="AN430" s="132"/>
      <c r="AO430" s="132"/>
      <c r="AP430" s="132"/>
      <c r="AQ430" s="141"/>
      <c r="AR430" s="132"/>
      <c r="AS430" s="132"/>
      <c r="AT430" s="47"/>
      <c r="AU430" s="7"/>
      <c r="AV430" s="134"/>
      <c r="AW430" s="132"/>
      <c r="AX430" s="132"/>
      <c r="AY430" s="132"/>
      <c r="AZ430" s="132"/>
      <c r="BA430" s="10"/>
      <c r="BB430" s="134"/>
      <c r="BC430" s="132"/>
      <c r="BD430" s="132"/>
      <c r="BE430" s="132"/>
      <c r="BF430" s="132"/>
      <c r="BG430" s="11"/>
      <c r="BH430" s="134"/>
      <c r="BI430" s="132"/>
      <c r="BJ430" s="132"/>
      <c r="BK430" s="132"/>
      <c r="BL430" s="132"/>
    </row>
    <row r="431" customFormat="false" ht="13.8" hidden="false" customHeight="false" outlineLevel="0" collapsed="false">
      <c r="A431" s="140"/>
      <c r="B431" s="140"/>
      <c r="C431" s="168"/>
      <c r="D431" s="132"/>
      <c r="E431" s="132"/>
      <c r="F431" s="132"/>
      <c r="G431" s="132"/>
      <c r="H431" s="132"/>
      <c r="I431" s="132"/>
      <c r="J431" s="132"/>
      <c r="K431" s="132"/>
      <c r="L431" s="132"/>
      <c r="M431" s="132"/>
      <c r="N431" s="140"/>
      <c r="O431" s="132"/>
      <c r="P431" s="132"/>
      <c r="Q431" s="132"/>
      <c r="R431" s="132"/>
      <c r="S431" s="132"/>
      <c r="T431" s="132"/>
      <c r="U431" s="132"/>
      <c r="V431" s="132"/>
      <c r="W431" s="132"/>
      <c r="X431" s="132"/>
      <c r="Y431" s="132"/>
      <c r="Z431" s="132"/>
      <c r="AA431" s="132"/>
      <c r="AB431" s="132"/>
      <c r="AC431" s="132"/>
      <c r="AD431" s="132"/>
      <c r="AE431" s="132"/>
      <c r="AF431" s="132"/>
      <c r="AG431" s="132"/>
      <c r="AH431" s="132"/>
      <c r="AI431" s="132"/>
      <c r="AJ431" s="132"/>
      <c r="AK431" s="132"/>
      <c r="AL431" s="132"/>
      <c r="AM431" s="132"/>
      <c r="AN431" s="132"/>
      <c r="AO431" s="132"/>
      <c r="AP431" s="132"/>
      <c r="AQ431" s="141"/>
      <c r="AR431" s="132"/>
      <c r="AS431" s="132"/>
      <c r="AT431" s="47"/>
      <c r="AU431" s="7"/>
      <c r="AV431" s="134"/>
      <c r="AW431" s="132"/>
      <c r="AX431" s="132"/>
      <c r="AY431" s="132"/>
      <c r="AZ431" s="132"/>
      <c r="BA431" s="10"/>
      <c r="BB431" s="134"/>
      <c r="BC431" s="132"/>
      <c r="BD431" s="132"/>
      <c r="BE431" s="132"/>
      <c r="BF431" s="132"/>
      <c r="BG431" s="11"/>
      <c r="BH431" s="134"/>
      <c r="BI431" s="132"/>
      <c r="BJ431" s="132"/>
      <c r="BK431" s="132"/>
      <c r="BL431" s="132"/>
    </row>
    <row r="432" customFormat="false" ht="13.8" hidden="false" customHeight="false" outlineLevel="0" collapsed="false">
      <c r="A432" s="140"/>
      <c r="B432" s="140"/>
      <c r="C432" s="168"/>
      <c r="D432" s="132"/>
      <c r="E432" s="132"/>
      <c r="F432" s="132"/>
      <c r="G432" s="132"/>
      <c r="H432" s="132"/>
      <c r="I432" s="132"/>
      <c r="J432" s="132"/>
      <c r="K432" s="132"/>
      <c r="L432" s="132"/>
      <c r="M432" s="132"/>
      <c r="N432" s="140"/>
      <c r="O432" s="132"/>
      <c r="P432" s="132"/>
      <c r="Q432" s="132"/>
      <c r="R432" s="132"/>
      <c r="S432" s="132"/>
      <c r="T432" s="132"/>
      <c r="U432" s="132"/>
      <c r="V432" s="132"/>
      <c r="W432" s="132"/>
      <c r="X432" s="132"/>
      <c r="Y432" s="132"/>
      <c r="Z432" s="132"/>
      <c r="AA432" s="132"/>
      <c r="AB432" s="132"/>
      <c r="AC432" s="132"/>
      <c r="AD432" s="132"/>
      <c r="AE432" s="132"/>
      <c r="AF432" s="132"/>
      <c r="AG432" s="132"/>
      <c r="AH432" s="132"/>
      <c r="AI432" s="132"/>
      <c r="AJ432" s="132"/>
      <c r="AK432" s="132"/>
      <c r="AL432" s="132"/>
      <c r="AM432" s="132"/>
      <c r="AN432" s="132"/>
      <c r="AO432" s="132"/>
      <c r="AP432" s="132"/>
      <c r="AQ432" s="141"/>
      <c r="AR432" s="132"/>
      <c r="AS432" s="132"/>
      <c r="AT432" s="47"/>
      <c r="AU432" s="7"/>
      <c r="AV432" s="134"/>
      <c r="AW432" s="132"/>
      <c r="AX432" s="132"/>
      <c r="AY432" s="132"/>
      <c r="AZ432" s="132"/>
      <c r="BA432" s="10"/>
      <c r="BB432" s="134"/>
      <c r="BC432" s="132"/>
      <c r="BD432" s="132"/>
      <c r="BE432" s="132"/>
      <c r="BF432" s="132"/>
      <c r="BG432" s="11"/>
      <c r="BH432" s="134"/>
      <c r="BI432" s="132"/>
      <c r="BJ432" s="132"/>
      <c r="BK432" s="132"/>
      <c r="BL432" s="132"/>
    </row>
    <row r="433" customFormat="false" ht="13.8" hidden="false" customHeight="false" outlineLevel="0" collapsed="false">
      <c r="A433" s="140"/>
      <c r="B433" s="140"/>
      <c r="C433" s="168"/>
      <c r="D433" s="132"/>
      <c r="E433" s="132"/>
      <c r="F433" s="132"/>
      <c r="G433" s="132"/>
      <c r="H433" s="132"/>
      <c r="I433" s="132"/>
      <c r="J433" s="132"/>
      <c r="K433" s="132"/>
      <c r="L433" s="132"/>
      <c r="M433" s="132"/>
      <c r="N433" s="140"/>
      <c r="O433" s="132"/>
      <c r="P433" s="132"/>
      <c r="Q433" s="132"/>
      <c r="R433" s="132"/>
      <c r="S433" s="132"/>
      <c r="T433" s="132"/>
      <c r="U433" s="132"/>
      <c r="V433" s="132"/>
      <c r="W433" s="132"/>
      <c r="X433" s="132"/>
      <c r="Y433" s="132"/>
      <c r="Z433" s="132"/>
      <c r="AA433" s="132"/>
      <c r="AB433" s="132"/>
      <c r="AC433" s="132"/>
      <c r="AD433" s="132"/>
      <c r="AE433" s="132"/>
      <c r="AF433" s="132"/>
      <c r="AG433" s="132"/>
      <c r="AH433" s="132"/>
      <c r="AI433" s="132"/>
      <c r="AJ433" s="132"/>
      <c r="AK433" s="132"/>
      <c r="AL433" s="132"/>
      <c r="AM433" s="132"/>
      <c r="AN433" s="132"/>
      <c r="AO433" s="132"/>
      <c r="AP433" s="132"/>
      <c r="AQ433" s="141"/>
      <c r="AR433" s="132"/>
      <c r="AS433" s="132"/>
      <c r="AT433" s="47"/>
      <c r="AU433" s="7"/>
      <c r="AV433" s="134"/>
      <c r="AW433" s="132"/>
      <c r="AX433" s="132"/>
      <c r="AY433" s="132"/>
      <c r="AZ433" s="132"/>
      <c r="BA433" s="10"/>
      <c r="BB433" s="134"/>
      <c r="BC433" s="132"/>
      <c r="BD433" s="132"/>
      <c r="BE433" s="132"/>
      <c r="BF433" s="132"/>
      <c r="BG433" s="11"/>
      <c r="BH433" s="134"/>
      <c r="BI433" s="132"/>
      <c r="BJ433" s="132"/>
      <c r="BK433" s="132"/>
      <c r="BL433" s="132"/>
    </row>
    <row r="434" customFormat="false" ht="13.8" hidden="false" customHeight="false" outlineLevel="0" collapsed="false">
      <c r="A434" s="140"/>
      <c r="B434" s="140"/>
      <c r="C434" s="168"/>
      <c r="D434" s="132"/>
      <c r="E434" s="132"/>
      <c r="F434" s="132"/>
      <c r="G434" s="132"/>
      <c r="H434" s="132"/>
      <c r="I434" s="132"/>
      <c r="J434" s="132"/>
      <c r="K434" s="132"/>
      <c r="L434" s="132"/>
      <c r="M434" s="132"/>
      <c r="N434" s="140"/>
      <c r="O434" s="132"/>
      <c r="P434" s="132"/>
      <c r="Q434" s="132"/>
      <c r="R434" s="132"/>
      <c r="S434" s="132"/>
      <c r="T434" s="132"/>
      <c r="U434" s="132"/>
      <c r="V434" s="132"/>
      <c r="W434" s="132"/>
      <c r="X434" s="132"/>
      <c r="Y434" s="132"/>
      <c r="Z434" s="132"/>
      <c r="AA434" s="132"/>
      <c r="AB434" s="132"/>
      <c r="AC434" s="132"/>
      <c r="AD434" s="132"/>
      <c r="AE434" s="132"/>
      <c r="AF434" s="132"/>
      <c r="AG434" s="132"/>
      <c r="AH434" s="132"/>
      <c r="AI434" s="132"/>
      <c r="AJ434" s="132"/>
      <c r="AK434" s="132"/>
      <c r="AL434" s="132"/>
      <c r="AM434" s="132"/>
      <c r="AN434" s="132"/>
      <c r="AO434" s="132"/>
      <c r="AP434" s="132"/>
      <c r="AQ434" s="141"/>
      <c r="AR434" s="132"/>
      <c r="AS434" s="132"/>
      <c r="AT434" s="47"/>
      <c r="AU434" s="7"/>
      <c r="AV434" s="134"/>
      <c r="AW434" s="132"/>
      <c r="AX434" s="132"/>
      <c r="AY434" s="132"/>
      <c r="AZ434" s="132"/>
      <c r="BA434" s="10"/>
      <c r="BB434" s="134"/>
      <c r="BC434" s="132"/>
      <c r="BD434" s="132"/>
      <c r="BE434" s="132"/>
      <c r="BF434" s="132"/>
      <c r="BG434" s="11"/>
      <c r="BH434" s="134"/>
      <c r="BI434" s="132"/>
      <c r="BJ434" s="132"/>
      <c r="BK434" s="132"/>
      <c r="BL434" s="132"/>
    </row>
    <row r="435" customFormat="false" ht="13.8" hidden="false" customHeight="false" outlineLevel="0" collapsed="false">
      <c r="A435" s="140"/>
      <c r="B435" s="140"/>
      <c r="C435" s="168"/>
      <c r="D435" s="132"/>
      <c r="E435" s="132"/>
      <c r="F435" s="132"/>
      <c r="G435" s="132"/>
      <c r="H435" s="132"/>
      <c r="I435" s="132"/>
      <c r="J435" s="132"/>
      <c r="K435" s="132"/>
      <c r="L435" s="132"/>
      <c r="M435" s="132"/>
      <c r="N435" s="140"/>
      <c r="O435" s="132"/>
      <c r="P435" s="132"/>
      <c r="Q435" s="132"/>
      <c r="R435" s="132"/>
      <c r="S435" s="132"/>
      <c r="T435" s="132"/>
      <c r="U435" s="132"/>
      <c r="V435" s="132"/>
      <c r="W435" s="132"/>
      <c r="X435" s="132"/>
      <c r="Y435" s="132"/>
      <c r="Z435" s="132"/>
      <c r="AA435" s="132"/>
      <c r="AB435" s="132"/>
      <c r="AC435" s="132"/>
      <c r="AD435" s="132"/>
      <c r="AE435" s="132"/>
      <c r="AF435" s="132"/>
      <c r="AG435" s="132"/>
      <c r="AH435" s="132"/>
      <c r="AI435" s="132"/>
      <c r="AJ435" s="132"/>
      <c r="AK435" s="132"/>
      <c r="AL435" s="132"/>
      <c r="AM435" s="132"/>
      <c r="AN435" s="132"/>
      <c r="AO435" s="132"/>
      <c r="AP435" s="132"/>
      <c r="AQ435" s="141"/>
      <c r="AR435" s="132"/>
      <c r="AS435" s="132"/>
      <c r="AT435" s="47"/>
      <c r="AU435" s="7"/>
      <c r="AV435" s="134"/>
      <c r="AW435" s="132"/>
      <c r="AX435" s="132"/>
      <c r="AY435" s="132"/>
      <c r="AZ435" s="132"/>
      <c r="BA435" s="10"/>
      <c r="BB435" s="134"/>
      <c r="BC435" s="132"/>
      <c r="BD435" s="132"/>
      <c r="BE435" s="132"/>
      <c r="BF435" s="132"/>
      <c r="BG435" s="11"/>
      <c r="BH435" s="134"/>
      <c r="BI435" s="132"/>
      <c r="BJ435" s="132"/>
      <c r="BK435" s="132"/>
      <c r="BL435" s="132"/>
    </row>
    <row r="436" customFormat="false" ht="13.8" hidden="false" customHeight="false" outlineLevel="0" collapsed="false">
      <c r="A436" s="140"/>
      <c r="B436" s="140"/>
      <c r="C436" s="168"/>
      <c r="D436" s="132"/>
      <c r="E436" s="132"/>
      <c r="F436" s="132"/>
      <c r="G436" s="132"/>
      <c r="H436" s="132"/>
      <c r="I436" s="132"/>
      <c r="J436" s="132"/>
      <c r="K436" s="132"/>
      <c r="L436" s="132"/>
      <c r="M436" s="132"/>
      <c r="N436" s="140"/>
      <c r="O436" s="132"/>
      <c r="P436" s="132"/>
      <c r="Q436" s="132"/>
      <c r="R436" s="132"/>
      <c r="S436" s="132"/>
      <c r="T436" s="132"/>
      <c r="U436" s="132"/>
      <c r="V436" s="132"/>
      <c r="W436" s="132"/>
      <c r="X436" s="132"/>
      <c r="Y436" s="132"/>
      <c r="Z436" s="132"/>
      <c r="AA436" s="132"/>
      <c r="AB436" s="132"/>
      <c r="AC436" s="132"/>
      <c r="AD436" s="132"/>
      <c r="AE436" s="132"/>
      <c r="AF436" s="132"/>
      <c r="AG436" s="132"/>
      <c r="AH436" s="132"/>
      <c r="AI436" s="132"/>
      <c r="AJ436" s="132"/>
      <c r="AK436" s="132"/>
      <c r="AL436" s="132"/>
      <c r="AM436" s="132"/>
      <c r="AN436" s="132"/>
      <c r="AO436" s="132"/>
      <c r="AP436" s="132"/>
      <c r="AQ436" s="141"/>
      <c r="AR436" s="132"/>
      <c r="AS436" s="132"/>
      <c r="AT436" s="47"/>
      <c r="AU436" s="7"/>
      <c r="AV436" s="134"/>
      <c r="AW436" s="132"/>
      <c r="AX436" s="132"/>
      <c r="AY436" s="132"/>
      <c r="AZ436" s="132"/>
      <c r="BA436" s="10"/>
      <c r="BB436" s="134"/>
      <c r="BC436" s="132"/>
      <c r="BD436" s="132"/>
      <c r="BE436" s="132"/>
      <c r="BF436" s="132"/>
      <c r="BG436" s="11"/>
      <c r="BH436" s="134"/>
      <c r="BI436" s="132"/>
      <c r="BJ436" s="132"/>
      <c r="BK436" s="132"/>
      <c r="BL436" s="132"/>
    </row>
    <row r="437" customFormat="false" ht="13.8" hidden="false" customHeight="false" outlineLevel="0" collapsed="false">
      <c r="A437" s="140"/>
      <c r="B437" s="140"/>
      <c r="C437" s="168"/>
      <c r="D437" s="132"/>
      <c r="E437" s="132"/>
      <c r="F437" s="132"/>
      <c r="G437" s="132"/>
      <c r="H437" s="132"/>
      <c r="I437" s="132"/>
      <c r="J437" s="132"/>
      <c r="K437" s="132"/>
      <c r="L437" s="132"/>
      <c r="M437" s="132"/>
      <c r="N437" s="140"/>
      <c r="O437" s="132"/>
      <c r="P437" s="132"/>
      <c r="Q437" s="132"/>
      <c r="R437" s="132"/>
      <c r="S437" s="132"/>
      <c r="T437" s="132"/>
      <c r="U437" s="132"/>
      <c r="V437" s="132"/>
      <c r="W437" s="132"/>
      <c r="X437" s="132"/>
      <c r="Y437" s="132"/>
      <c r="Z437" s="132"/>
      <c r="AA437" s="132"/>
      <c r="AB437" s="132"/>
      <c r="AC437" s="132"/>
      <c r="AD437" s="132"/>
      <c r="AE437" s="132"/>
      <c r="AF437" s="132"/>
      <c r="AG437" s="132"/>
      <c r="AH437" s="132"/>
      <c r="AI437" s="132"/>
      <c r="AJ437" s="132"/>
      <c r="AK437" s="132"/>
      <c r="AL437" s="132"/>
      <c r="AM437" s="132"/>
      <c r="AN437" s="132"/>
      <c r="AO437" s="132"/>
      <c r="AP437" s="132"/>
      <c r="AQ437" s="141"/>
      <c r="AR437" s="132"/>
      <c r="AS437" s="132"/>
      <c r="AT437" s="47"/>
      <c r="AU437" s="7"/>
      <c r="AV437" s="134"/>
      <c r="AW437" s="132"/>
      <c r="AX437" s="132"/>
      <c r="AY437" s="132"/>
      <c r="AZ437" s="132"/>
      <c r="BA437" s="10"/>
      <c r="BB437" s="134"/>
      <c r="BC437" s="132"/>
      <c r="BD437" s="132"/>
      <c r="BE437" s="132"/>
      <c r="BF437" s="132"/>
      <c r="BG437" s="11"/>
      <c r="BH437" s="134"/>
      <c r="BI437" s="132"/>
      <c r="BJ437" s="132"/>
      <c r="BK437" s="132"/>
      <c r="BL437" s="132"/>
    </row>
    <row r="438" customFormat="false" ht="13.8" hidden="false" customHeight="false" outlineLevel="0" collapsed="false">
      <c r="A438" s="140"/>
      <c r="B438" s="140"/>
      <c r="C438" s="168"/>
      <c r="D438" s="132"/>
      <c r="E438" s="132"/>
      <c r="F438" s="132"/>
      <c r="G438" s="132"/>
      <c r="H438" s="132"/>
      <c r="I438" s="132"/>
      <c r="J438" s="132"/>
      <c r="K438" s="132"/>
      <c r="L438" s="132"/>
      <c r="M438" s="132"/>
      <c r="N438" s="140"/>
      <c r="O438" s="132"/>
      <c r="P438" s="132"/>
      <c r="Q438" s="132"/>
      <c r="R438" s="132"/>
      <c r="S438" s="132"/>
      <c r="T438" s="132"/>
      <c r="U438" s="132"/>
      <c r="V438" s="132"/>
      <c r="W438" s="132"/>
      <c r="X438" s="132"/>
      <c r="Y438" s="132"/>
      <c r="Z438" s="132"/>
      <c r="AA438" s="132"/>
      <c r="AB438" s="132"/>
      <c r="AC438" s="132"/>
      <c r="AD438" s="132"/>
      <c r="AE438" s="132"/>
      <c r="AF438" s="132"/>
      <c r="AG438" s="132"/>
      <c r="AH438" s="132"/>
      <c r="AI438" s="132"/>
      <c r="AJ438" s="132"/>
      <c r="AK438" s="132"/>
      <c r="AL438" s="132"/>
      <c r="AM438" s="132"/>
      <c r="AN438" s="132"/>
      <c r="AO438" s="132"/>
      <c r="AP438" s="132"/>
      <c r="AQ438" s="141"/>
      <c r="AR438" s="132"/>
      <c r="AS438" s="132"/>
      <c r="AT438" s="47"/>
      <c r="AU438" s="7"/>
      <c r="AV438" s="134"/>
      <c r="AW438" s="132"/>
      <c r="AX438" s="132"/>
      <c r="AY438" s="132"/>
      <c r="AZ438" s="132"/>
      <c r="BA438" s="10"/>
      <c r="BB438" s="134"/>
      <c r="BC438" s="132"/>
      <c r="BD438" s="132"/>
      <c r="BE438" s="132"/>
      <c r="BF438" s="132"/>
      <c r="BG438" s="11"/>
      <c r="BH438" s="134"/>
      <c r="BI438" s="132"/>
      <c r="BJ438" s="132"/>
      <c r="BK438" s="132"/>
      <c r="BL438" s="132"/>
    </row>
    <row r="439" customFormat="false" ht="13.8" hidden="false" customHeight="false" outlineLevel="0" collapsed="false">
      <c r="A439" s="140"/>
      <c r="B439" s="140"/>
      <c r="C439" s="168"/>
      <c r="D439" s="132"/>
      <c r="E439" s="132"/>
      <c r="F439" s="132"/>
      <c r="G439" s="132"/>
      <c r="H439" s="132"/>
      <c r="I439" s="132"/>
      <c r="J439" s="132"/>
      <c r="K439" s="132"/>
      <c r="L439" s="132"/>
      <c r="M439" s="132"/>
      <c r="N439" s="140"/>
      <c r="O439" s="132"/>
      <c r="P439" s="132"/>
      <c r="Q439" s="132"/>
      <c r="R439" s="132"/>
      <c r="S439" s="132"/>
      <c r="T439" s="132"/>
      <c r="U439" s="132"/>
      <c r="V439" s="132"/>
      <c r="W439" s="132"/>
      <c r="X439" s="132"/>
      <c r="Y439" s="132"/>
      <c r="Z439" s="132"/>
      <c r="AA439" s="132"/>
      <c r="AB439" s="132"/>
      <c r="AC439" s="132"/>
      <c r="AD439" s="132"/>
      <c r="AE439" s="132"/>
      <c r="AF439" s="132"/>
      <c r="AG439" s="132"/>
      <c r="AH439" s="132"/>
      <c r="AI439" s="132"/>
      <c r="AJ439" s="132"/>
      <c r="AK439" s="132"/>
      <c r="AL439" s="132"/>
      <c r="AM439" s="132"/>
      <c r="AN439" s="132"/>
      <c r="AO439" s="132"/>
      <c r="AP439" s="132"/>
      <c r="AQ439" s="141"/>
      <c r="AR439" s="132"/>
      <c r="AS439" s="132"/>
      <c r="AT439" s="47"/>
      <c r="AU439" s="7"/>
      <c r="AV439" s="134"/>
      <c r="AW439" s="132"/>
      <c r="AX439" s="132"/>
      <c r="AY439" s="132"/>
      <c r="AZ439" s="132"/>
      <c r="BA439" s="10"/>
      <c r="BB439" s="134"/>
      <c r="BC439" s="132"/>
      <c r="BD439" s="132"/>
      <c r="BE439" s="132"/>
      <c r="BF439" s="132"/>
      <c r="BG439" s="11"/>
      <c r="BH439" s="134"/>
      <c r="BI439" s="132"/>
      <c r="BJ439" s="132"/>
      <c r="BK439" s="132"/>
      <c r="BL439" s="132"/>
    </row>
    <row r="440" customFormat="false" ht="13.8" hidden="false" customHeight="false" outlineLevel="0" collapsed="false">
      <c r="A440" s="140"/>
      <c r="B440" s="140"/>
      <c r="C440" s="168"/>
      <c r="D440" s="132"/>
      <c r="E440" s="132"/>
      <c r="F440" s="132"/>
      <c r="G440" s="132"/>
      <c r="H440" s="132"/>
      <c r="I440" s="132"/>
      <c r="J440" s="132"/>
      <c r="K440" s="132"/>
      <c r="L440" s="132"/>
      <c r="M440" s="132"/>
      <c r="N440" s="140"/>
      <c r="O440" s="132"/>
      <c r="P440" s="132"/>
      <c r="Q440" s="132"/>
      <c r="R440" s="132"/>
      <c r="S440" s="132"/>
      <c r="T440" s="132"/>
      <c r="U440" s="132"/>
      <c r="V440" s="132"/>
      <c r="W440" s="132"/>
      <c r="X440" s="132"/>
      <c r="Y440" s="132"/>
      <c r="Z440" s="132"/>
      <c r="AA440" s="132"/>
      <c r="AB440" s="132"/>
      <c r="AC440" s="132"/>
      <c r="AD440" s="132"/>
      <c r="AE440" s="132"/>
      <c r="AF440" s="132"/>
      <c r="AG440" s="132"/>
      <c r="AH440" s="132"/>
      <c r="AI440" s="132"/>
      <c r="AJ440" s="132"/>
      <c r="AK440" s="132"/>
      <c r="AL440" s="132"/>
      <c r="AM440" s="132"/>
      <c r="AN440" s="132"/>
      <c r="AO440" s="132"/>
      <c r="AP440" s="132"/>
      <c r="AQ440" s="141"/>
      <c r="AR440" s="132"/>
      <c r="AS440" s="132"/>
      <c r="AT440" s="47"/>
      <c r="AU440" s="7"/>
      <c r="AV440" s="134"/>
      <c r="AW440" s="132"/>
      <c r="AX440" s="132"/>
      <c r="AY440" s="132"/>
      <c r="AZ440" s="132"/>
      <c r="BA440" s="10"/>
      <c r="BB440" s="134"/>
      <c r="BC440" s="132"/>
      <c r="BD440" s="132"/>
      <c r="BE440" s="132"/>
      <c r="BF440" s="132"/>
      <c r="BG440" s="11"/>
      <c r="BH440" s="134"/>
      <c r="BI440" s="132"/>
      <c r="BJ440" s="132"/>
      <c r="BK440" s="132"/>
      <c r="BL440" s="132"/>
    </row>
    <row r="441" customFormat="false" ht="13.8" hidden="false" customHeight="false" outlineLevel="0" collapsed="false">
      <c r="A441" s="140"/>
      <c r="B441" s="140"/>
      <c r="C441" s="168"/>
      <c r="D441" s="132"/>
      <c r="E441" s="132"/>
      <c r="F441" s="132"/>
      <c r="G441" s="132"/>
      <c r="H441" s="132"/>
      <c r="I441" s="132"/>
      <c r="J441" s="132"/>
      <c r="K441" s="132"/>
      <c r="L441" s="132"/>
      <c r="M441" s="132"/>
      <c r="N441" s="140"/>
      <c r="O441" s="132"/>
      <c r="P441" s="132"/>
      <c r="Q441" s="132"/>
      <c r="R441" s="132"/>
      <c r="S441" s="132"/>
      <c r="T441" s="132"/>
      <c r="U441" s="132"/>
      <c r="V441" s="132"/>
      <c r="W441" s="132"/>
      <c r="X441" s="132"/>
      <c r="Y441" s="132"/>
      <c r="Z441" s="132"/>
      <c r="AA441" s="132"/>
      <c r="AB441" s="132"/>
      <c r="AC441" s="132"/>
      <c r="AD441" s="132"/>
      <c r="AE441" s="132"/>
      <c r="AF441" s="132"/>
      <c r="AG441" s="132"/>
      <c r="AH441" s="132"/>
      <c r="AI441" s="132"/>
      <c r="AJ441" s="132"/>
      <c r="AK441" s="132"/>
      <c r="AL441" s="132"/>
      <c r="AM441" s="132"/>
      <c r="AN441" s="132"/>
      <c r="AO441" s="132"/>
      <c r="AP441" s="132"/>
      <c r="AQ441" s="141"/>
      <c r="AR441" s="132"/>
      <c r="AS441" s="132"/>
      <c r="AT441" s="47"/>
      <c r="AU441" s="7"/>
      <c r="AV441" s="134"/>
      <c r="AW441" s="132"/>
      <c r="AX441" s="132"/>
      <c r="AY441" s="132"/>
      <c r="AZ441" s="132"/>
      <c r="BA441" s="10"/>
      <c r="BB441" s="134"/>
      <c r="BC441" s="132"/>
      <c r="BD441" s="132"/>
      <c r="BE441" s="132"/>
      <c r="BF441" s="132"/>
      <c r="BG441" s="11"/>
      <c r="BH441" s="134"/>
      <c r="BI441" s="132"/>
      <c r="BJ441" s="132"/>
      <c r="BK441" s="132"/>
      <c r="BL441" s="132"/>
    </row>
    <row r="442" customFormat="false" ht="13.8" hidden="false" customHeight="false" outlineLevel="0" collapsed="false">
      <c r="A442" s="140"/>
      <c r="B442" s="140"/>
      <c r="C442" s="168"/>
      <c r="D442" s="132"/>
      <c r="E442" s="132"/>
      <c r="F442" s="132"/>
      <c r="G442" s="132"/>
      <c r="H442" s="132"/>
      <c r="I442" s="132"/>
      <c r="J442" s="132"/>
      <c r="K442" s="132"/>
      <c r="L442" s="132"/>
      <c r="M442" s="132"/>
      <c r="N442" s="140"/>
      <c r="O442" s="132"/>
      <c r="P442" s="132"/>
      <c r="Q442" s="132"/>
      <c r="R442" s="132"/>
      <c r="S442" s="132"/>
      <c r="T442" s="132"/>
      <c r="U442" s="132"/>
      <c r="V442" s="132"/>
      <c r="W442" s="132"/>
      <c r="X442" s="132"/>
      <c r="Y442" s="132"/>
      <c r="Z442" s="132"/>
      <c r="AA442" s="132"/>
      <c r="AB442" s="132"/>
      <c r="AC442" s="132"/>
      <c r="AD442" s="132"/>
      <c r="AE442" s="132"/>
      <c r="AF442" s="132"/>
      <c r="AG442" s="132"/>
      <c r="AH442" s="132"/>
      <c r="AI442" s="132"/>
      <c r="AJ442" s="132"/>
      <c r="AK442" s="132"/>
      <c r="AL442" s="132"/>
      <c r="AM442" s="132"/>
      <c r="AN442" s="132"/>
      <c r="AO442" s="132"/>
      <c r="AP442" s="132"/>
      <c r="AQ442" s="141"/>
      <c r="AR442" s="132"/>
      <c r="AS442" s="132"/>
      <c r="AT442" s="47"/>
      <c r="AU442" s="7"/>
      <c r="AV442" s="134"/>
      <c r="AW442" s="132"/>
      <c r="AX442" s="132"/>
      <c r="AY442" s="132"/>
      <c r="AZ442" s="132"/>
      <c r="BA442" s="10"/>
      <c r="BB442" s="134"/>
      <c r="BC442" s="132"/>
      <c r="BD442" s="132"/>
      <c r="BE442" s="132"/>
      <c r="BF442" s="132"/>
      <c r="BG442" s="11"/>
      <c r="BH442" s="134"/>
      <c r="BI442" s="132"/>
      <c r="BJ442" s="132"/>
      <c r="BK442" s="132"/>
      <c r="BL442" s="132"/>
    </row>
    <row r="443" customFormat="false" ht="13.8" hidden="false" customHeight="false" outlineLevel="0" collapsed="false">
      <c r="A443" s="140"/>
      <c r="B443" s="140"/>
      <c r="C443" s="168"/>
      <c r="D443" s="132"/>
      <c r="E443" s="132"/>
      <c r="F443" s="132"/>
      <c r="G443" s="132"/>
      <c r="H443" s="132"/>
      <c r="I443" s="132"/>
      <c r="J443" s="132"/>
      <c r="K443" s="132"/>
      <c r="L443" s="132"/>
      <c r="M443" s="132"/>
      <c r="N443" s="140"/>
      <c r="O443" s="132"/>
      <c r="P443" s="132"/>
      <c r="Q443" s="132"/>
      <c r="R443" s="132"/>
      <c r="S443" s="132"/>
      <c r="T443" s="132"/>
      <c r="U443" s="132"/>
      <c r="V443" s="132"/>
      <c r="W443" s="132"/>
      <c r="X443" s="132"/>
      <c r="Y443" s="132"/>
      <c r="Z443" s="132"/>
      <c r="AA443" s="132"/>
      <c r="AB443" s="132"/>
      <c r="AC443" s="132"/>
      <c r="AD443" s="132"/>
      <c r="AE443" s="132"/>
      <c r="AF443" s="132"/>
      <c r="AG443" s="132"/>
      <c r="AH443" s="132"/>
      <c r="AI443" s="132"/>
      <c r="AJ443" s="132"/>
      <c r="AK443" s="132"/>
      <c r="AL443" s="132"/>
      <c r="AM443" s="132"/>
      <c r="AN443" s="132"/>
      <c r="AO443" s="132"/>
      <c r="AP443" s="132"/>
      <c r="AQ443" s="141"/>
      <c r="AR443" s="132"/>
      <c r="AS443" s="132"/>
      <c r="AT443" s="47"/>
      <c r="AU443" s="7"/>
      <c r="AV443" s="134"/>
      <c r="AW443" s="132"/>
      <c r="AX443" s="132"/>
      <c r="AY443" s="132"/>
      <c r="AZ443" s="132"/>
      <c r="BA443" s="10"/>
      <c r="BB443" s="134"/>
      <c r="BC443" s="132"/>
      <c r="BD443" s="132"/>
      <c r="BE443" s="132"/>
      <c r="BF443" s="132"/>
      <c r="BG443" s="11"/>
      <c r="BH443" s="134"/>
      <c r="BI443" s="132"/>
      <c r="BJ443" s="132"/>
      <c r="BK443" s="132"/>
      <c r="BL443" s="132"/>
    </row>
    <row r="444" customFormat="false" ht="13.8" hidden="false" customHeight="false" outlineLevel="0" collapsed="false">
      <c r="A444" s="140"/>
      <c r="B444" s="140"/>
      <c r="C444" s="168"/>
      <c r="D444" s="132"/>
      <c r="E444" s="132"/>
      <c r="F444" s="132"/>
      <c r="G444" s="132"/>
      <c r="H444" s="132"/>
      <c r="I444" s="132"/>
      <c r="J444" s="132"/>
      <c r="K444" s="132"/>
      <c r="L444" s="132"/>
      <c r="M444" s="132"/>
      <c r="N444" s="140"/>
      <c r="O444" s="132"/>
      <c r="P444" s="132"/>
      <c r="Q444" s="132"/>
      <c r="R444" s="132"/>
      <c r="S444" s="132"/>
      <c r="T444" s="132"/>
      <c r="U444" s="132"/>
      <c r="V444" s="132"/>
      <c r="W444" s="132"/>
      <c r="X444" s="132"/>
      <c r="Y444" s="132"/>
      <c r="Z444" s="132"/>
      <c r="AA444" s="132"/>
      <c r="AB444" s="132"/>
      <c r="AC444" s="132"/>
      <c r="AD444" s="132"/>
      <c r="AE444" s="132"/>
      <c r="AF444" s="132"/>
      <c r="AG444" s="132"/>
      <c r="AH444" s="132"/>
      <c r="AI444" s="132"/>
      <c r="AJ444" s="132"/>
      <c r="AK444" s="132"/>
      <c r="AL444" s="132"/>
      <c r="AM444" s="132"/>
      <c r="AN444" s="132"/>
      <c r="AO444" s="132"/>
      <c r="AP444" s="132"/>
      <c r="AQ444" s="141"/>
      <c r="AR444" s="132"/>
      <c r="AS444" s="132"/>
      <c r="AT444" s="47"/>
      <c r="AU444" s="7"/>
      <c r="AV444" s="134"/>
      <c r="AW444" s="132"/>
      <c r="AX444" s="132"/>
      <c r="AY444" s="132"/>
      <c r="AZ444" s="132"/>
      <c r="BA444" s="10"/>
      <c r="BB444" s="134"/>
      <c r="BC444" s="132"/>
      <c r="BD444" s="132"/>
      <c r="BE444" s="132"/>
      <c r="BF444" s="132"/>
      <c r="BG444" s="11"/>
      <c r="BH444" s="134"/>
      <c r="BI444" s="132"/>
      <c r="BJ444" s="132"/>
      <c r="BK444" s="132"/>
      <c r="BL444" s="132"/>
    </row>
    <row r="445" customFormat="false" ht="13.8" hidden="false" customHeight="false" outlineLevel="0" collapsed="false">
      <c r="A445" s="140"/>
      <c r="B445" s="140"/>
      <c r="C445" s="168"/>
      <c r="D445" s="132"/>
      <c r="E445" s="132"/>
      <c r="F445" s="132"/>
      <c r="G445" s="132"/>
      <c r="H445" s="132"/>
      <c r="I445" s="132"/>
      <c r="J445" s="132"/>
      <c r="K445" s="132"/>
      <c r="L445" s="132"/>
      <c r="M445" s="132"/>
      <c r="N445" s="140"/>
      <c r="O445" s="132"/>
      <c r="P445" s="132"/>
      <c r="Q445" s="132"/>
      <c r="R445" s="132"/>
      <c r="S445" s="132"/>
      <c r="T445" s="132"/>
      <c r="U445" s="132"/>
      <c r="V445" s="132"/>
      <c r="W445" s="132"/>
      <c r="X445" s="132"/>
      <c r="Y445" s="132"/>
      <c r="Z445" s="132"/>
      <c r="AA445" s="132"/>
      <c r="AB445" s="132"/>
      <c r="AC445" s="132"/>
      <c r="AD445" s="132"/>
      <c r="AE445" s="132"/>
      <c r="AF445" s="132"/>
      <c r="AG445" s="132"/>
      <c r="AH445" s="132"/>
      <c r="AI445" s="132"/>
      <c r="AJ445" s="132"/>
      <c r="AK445" s="132"/>
      <c r="AL445" s="132"/>
      <c r="AM445" s="132"/>
      <c r="AN445" s="132"/>
      <c r="AO445" s="132"/>
      <c r="AP445" s="132"/>
      <c r="AQ445" s="141"/>
      <c r="AR445" s="132"/>
      <c r="AS445" s="132"/>
      <c r="AT445" s="47"/>
      <c r="AU445" s="7"/>
      <c r="AV445" s="134"/>
      <c r="AW445" s="132"/>
      <c r="AX445" s="132"/>
      <c r="AY445" s="132"/>
      <c r="AZ445" s="132"/>
      <c r="BA445" s="10"/>
      <c r="BB445" s="134"/>
      <c r="BC445" s="132"/>
      <c r="BD445" s="132"/>
      <c r="BE445" s="132"/>
      <c r="BF445" s="132"/>
      <c r="BG445" s="11"/>
      <c r="BH445" s="134"/>
      <c r="BI445" s="132"/>
      <c r="BJ445" s="132"/>
      <c r="BK445" s="132"/>
      <c r="BL445" s="132"/>
    </row>
    <row r="446" customFormat="false" ht="13.8" hidden="false" customHeight="false" outlineLevel="0" collapsed="false">
      <c r="A446" s="140"/>
      <c r="B446" s="140"/>
      <c r="C446" s="168"/>
      <c r="D446" s="132"/>
      <c r="E446" s="132"/>
      <c r="F446" s="132"/>
      <c r="G446" s="132"/>
      <c r="H446" s="132"/>
      <c r="I446" s="132"/>
      <c r="J446" s="132"/>
      <c r="K446" s="132"/>
      <c r="L446" s="132"/>
      <c r="M446" s="132"/>
      <c r="N446" s="140"/>
      <c r="O446" s="132"/>
      <c r="P446" s="132"/>
      <c r="Q446" s="132"/>
      <c r="R446" s="132"/>
      <c r="S446" s="132"/>
      <c r="T446" s="132"/>
      <c r="U446" s="132"/>
      <c r="V446" s="132"/>
      <c r="W446" s="132"/>
      <c r="X446" s="132"/>
      <c r="Y446" s="132"/>
      <c r="Z446" s="132"/>
      <c r="AA446" s="132"/>
      <c r="AB446" s="132"/>
      <c r="AC446" s="132"/>
      <c r="AD446" s="132"/>
      <c r="AE446" s="132"/>
      <c r="AF446" s="132"/>
      <c r="AG446" s="132"/>
      <c r="AH446" s="132"/>
      <c r="AI446" s="132"/>
      <c r="AJ446" s="132"/>
      <c r="AK446" s="132"/>
      <c r="AL446" s="132"/>
      <c r="AM446" s="132"/>
      <c r="AN446" s="132"/>
      <c r="AO446" s="132"/>
      <c r="AP446" s="132"/>
      <c r="AQ446" s="141"/>
      <c r="AR446" s="132"/>
      <c r="AS446" s="132"/>
      <c r="AT446" s="47"/>
      <c r="AU446" s="7"/>
      <c r="AV446" s="134"/>
      <c r="AW446" s="132"/>
      <c r="AX446" s="132"/>
      <c r="AY446" s="132"/>
      <c r="AZ446" s="132"/>
      <c r="BA446" s="10"/>
      <c r="BB446" s="134"/>
      <c r="BC446" s="132"/>
      <c r="BD446" s="132"/>
      <c r="BE446" s="132"/>
      <c r="BF446" s="132"/>
      <c r="BG446" s="11"/>
      <c r="BH446" s="134"/>
      <c r="BI446" s="132"/>
      <c r="BJ446" s="132"/>
      <c r="BK446" s="132"/>
      <c r="BL446" s="132"/>
    </row>
    <row r="447" customFormat="false" ht="13.8" hidden="false" customHeight="false" outlineLevel="0" collapsed="false">
      <c r="A447" s="140"/>
      <c r="B447" s="140"/>
      <c r="C447" s="168"/>
      <c r="D447" s="132"/>
      <c r="E447" s="132"/>
      <c r="F447" s="132"/>
      <c r="G447" s="132"/>
      <c r="H447" s="132"/>
      <c r="I447" s="132"/>
      <c r="J447" s="132"/>
      <c r="K447" s="132"/>
      <c r="L447" s="132"/>
      <c r="M447" s="132"/>
      <c r="N447" s="140"/>
      <c r="O447" s="132"/>
      <c r="P447" s="132"/>
      <c r="Q447" s="132"/>
      <c r="R447" s="132"/>
      <c r="S447" s="132"/>
      <c r="T447" s="132"/>
      <c r="U447" s="132"/>
      <c r="V447" s="132"/>
      <c r="W447" s="132"/>
      <c r="X447" s="132"/>
      <c r="Y447" s="132"/>
      <c r="Z447" s="132"/>
      <c r="AA447" s="132"/>
      <c r="AB447" s="132"/>
      <c r="AC447" s="132"/>
      <c r="AD447" s="132"/>
      <c r="AE447" s="132"/>
      <c r="AF447" s="132"/>
      <c r="AG447" s="132"/>
      <c r="AH447" s="132"/>
      <c r="AI447" s="132"/>
      <c r="AJ447" s="132"/>
      <c r="AK447" s="132"/>
      <c r="AL447" s="132"/>
      <c r="AM447" s="132"/>
      <c r="AN447" s="132"/>
      <c r="AO447" s="132"/>
      <c r="AP447" s="132"/>
      <c r="AQ447" s="141"/>
      <c r="AR447" s="132"/>
      <c r="AS447" s="132"/>
      <c r="AT447" s="47"/>
      <c r="AU447" s="7"/>
      <c r="AV447" s="134"/>
      <c r="AW447" s="132"/>
      <c r="AX447" s="132"/>
      <c r="AY447" s="132"/>
      <c r="AZ447" s="132"/>
      <c r="BA447" s="10"/>
      <c r="BB447" s="134"/>
      <c r="BC447" s="132"/>
      <c r="BD447" s="132"/>
      <c r="BE447" s="132"/>
      <c r="BF447" s="132"/>
      <c r="BG447" s="11"/>
      <c r="BH447" s="134"/>
      <c r="BI447" s="132"/>
      <c r="BJ447" s="132"/>
      <c r="BK447" s="132"/>
      <c r="BL447" s="132"/>
    </row>
    <row r="448" customFormat="false" ht="13.8" hidden="false" customHeight="false" outlineLevel="0" collapsed="false">
      <c r="A448" s="140"/>
      <c r="B448" s="140"/>
      <c r="C448" s="168"/>
      <c r="D448" s="132"/>
      <c r="E448" s="132"/>
      <c r="F448" s="132"/>
      <c r="G448" s="132"/>
      <c r="H448" s="132"/>
      <c r="I448" s="132"/>
      <c r="J448" s="132"/>
      <c r="K448" s="132"/>
      <c r="L448" s="132"/>
      <c r="M448" s="132"/>
      <c r="N448" s="140"/>
      <c r="O448" s="132"/>
      <c r="P448" s="132"/>
      <c r="Q448" s="132"/>
      <c r="R448" s="132"/>
      <c r="S448" s="132"/>
      <c r="T448" s="132"/>
      <c r="U448" s="132"/>
      <c r="V448" s="132"/>
      <c r="W448" s="132"/>
      <c r="X448" s="132"/>
      <c r="Y448" s="132"/>
      <c r="Z448" s="132"/>
      <c r="AA448" s="132"/>
      <c r="AB448" s="132"/>
      <c r="AC448" s="132"/>
      <c r="AD448" s="132"/>
      <c r="AE448" s="132"/>
      <c r="AF448" s="132"/>
      <c r="AG448" s="132"/>
      <c r="AH448" s="132"/>
      <c r="AI448" s="132"/>
      <c r="AJ448" s="132"/>
      <c r="AK448" s="132"/>
      <c r="AL448" s="132"/>
      <c r="AM448" s="132"/>
      <c r="AN448" s="132"/>
      <c r="AO448" s="132"/>
      <c r="AP448" s="132"/>
      <c r="AQ448" s="141"/>
      <c r="AR448" s="132"/>
      <c r="AS448" s="132"/>
      <c r="AT448" s="47"/>
      <c r="AU448" s="7"/>
      <c r="AV448" s="134"/>
      <c r="AW448" s="132"/>
      <c r="AX448" s="132"/>
      <c r="AY448" s="132"/>
      <c r="AZ448" s="132"/>
      <c r="BA448" s="10"/>
      <c r="BB448" s="134"/>
      <c r="BC448" s="132"/>
      <c r="BD448" s="132"/>
      <c r="BE448" s="132"/>
      <c r="BF448" s="132"/>
      <c r="BG448" s="11"/>
      <c r="BH448" s="134"/>
      <c r="BI448" s="132"/>
      <c r="BJ448" s="132"/>
      <c r="BK448" s="132"/>
      <c r="BL448" s="132"/>
    </row>
    <row r="449" customFormat="false" ht="13.8" hidden="false" customHeight="false" outlineLevel="0" collapsed="false">
      <c r="A449" s="140"/>
      <c r="B449" s="140"/>
      <c r="C449" s="168"/>
      <c r="D449" s="132"/>
      <c r="E449" s="132"/>
      <c r="F449" s="132"/>
      <c r="G449" s="132"/>
      <c r="H449" s="132"/>
      <c r="I449" s="132"/>
      <c r="J449" s="132"/>
      <c r="K449" s="132"/>
      <c r="L449" s="132"/>
      <c r="M449" s="132"/>
      <c r="N449" s="140"/>
      <c r="O449" s="132"/>
      <c r="P449" s="132"/>
      <c r="Q449" s="132"/>
      <c r="R449" s="132"/>
      <c r="S449" s="132"/>
      <c r="T449" s="132"/>
      <c r="U449" s="132"/>
      <c r="V449" s="132"/>
      <c r="W449" s="132"/>
      <c r="X449" s="132"/>
      <c r="Y449" s="132"/>
      <c r="Z449" s="132"/>
      <c r="AA449" s="132"/>
      <c r="AB449" s="132"/>
      <c r="AC449" s="132"/>
      <c r="AD449" s="132"/>
      <c r="AE449" s="132"/>
      <c r="AF449" s="132"/>
      <c r="AG449" s="132"/>
      <c r="AH449" s="132"/>
      <c r="AI449" s="132"/>
      <c r="AJ449" s="132"/>
      <c r="AK449" s="132"/>
      <c r="AL449" s="132"/>
      <c r="AM449" s="132"/>
      <c r="AN449" s="132"/>
      <c r="AO449" s="132"/>
      <c r="AP449" s="132"/>
      <c r="AQ449" s="141"/>
      <c r="AR449" s="132"/>
      <c r="AS449" s="132"/>
      <c r="AT449" s="47"/>
      <c r="AU449" s="7"/>
      <c r="AV449" s="134"/>
      <c r="AW449" s="132"/>
      <c r="AX449" s="132"/>
      <c r="AY449" s="132"/>
      <c r="AZ449" s="132"/>
      <c r="BA449" s="10"/>
      <c r="BB449" s="134"/>
      <c r="BC449" s="132"/>
      <c r="BD449" s="132"/>
      <c r="BE449" s="132"/>
      <c r="BF449" s="132"/>
      <c r="BG449" s="11"/>
      <c r="BH449" s="134"/>
      <c r="BI449" s="132"/>
      <c r="BJ449" s="132"/>
      <c r="BK449" s="132"/>
      <c r="BL449" s="132"/>
    </row>
    <row r="450" customFormat="false" ht="13.8" hidden="false" customHeight="false" outlineLevel="0" collapsed="false">
      <c r="A450" s="140"/>
      <c r="B450" s="140"/>
      <c r="C450" s="168"/>
      <c r="D450" s="132"/>
      <c r="E450" s="132"/>
      <c r="F450" s="132"/>
      <c r="G450" s="132"/>
      <c r="H450" s="132"/>
      <c r="I450" s="132"/>
      <c r="J450" s="132"/>
      <c r="K450" s="132"/>
      <c r="L450" s="132"/>
      <c r="M450" s="132"/>
      <c r="N450" s="140"/>
      <c r="O450" s="132"/>
      <c r="P450" s="132"/>
      <c r="Q450" s="132"/>
      <c r="R450" s="132"/>
      <c r="S450" s="132"/>
      <c r="T450" s="132"/>
      <c r="U450" s="132"/>
      <c r="V450" s="132"/>
      <c r="W450" s="132"/>
      <c r="X450" s="132"/>
      <c r="Y450" s="132"/>
      <c r="Z450" s="132"/>
      <c r="AA450" s="132"/>
      <c r="AB450" s="132"/>
      <c r="AC450" s="132"/>
      <c r="AD450" s="132"/>
      <c r="AE450" s="132"/>
      <c r="AF450" s="132"/>
      <c r="AG450" s="132"/>
      <c r="AH450" s="132"/>
      <c r="AI450" s="132"/>
      <c r="AJ450" s="132"/>
      <c r="AK450" s="132"/>
      <c r="AL450" s="132"/>
      <c r="AM450" s="132"/>
      <c r="AN450" s="132"/>
      <c r="AO450" s="132"/>
      <c r="AP450" s="132"/>
      <c r="AQ450" s="141"/>
      <c r="AR450" s="132"/>
      <c r="AS450" s="132"/>
      <c r="AT450" s="47"/>
      <c r="AU450" s="7"/>
      <c r="AV450" s="134"/>
      <c r="AW450" s="132"/>
      <c r="AX450" s="132"/>
      <c r="AY450" s="132"/>
      <c r="AZ450" s="132"/>
      <c r="BA450" s="10"/>
      <c r="BB450" s="134"/>
      <c r="BC450" s="132"/>
      <c r="BD450" s="132"/>
      <c r="BE450" s="132"/>
      <c r="BF450" s="132"/>
      <c r="BG450" s="11"/>
      <c r="BH450" s="134"/>
      <c r="BI450" s="132"/>
      <c r="BJ450" s="132"/>
      <c r="BK450" s="132"/>
      <c r="BL450" s="132"/>
    </row>
    <row r="451" customFormat="false" ht="13.8" hidden="false" customHeight="false" outlineLevel="0" collapsed="false">
      <c r="A451" s="140"/>
      <c r="B451" s="140"/>
      <c r="C451" s="168"/>
      <c r="D451" s="132"/>
      <c r="E451" s="132"/>
      <c r="F451" s="132"/>
      <c r="G451" s="132"/>
      <c r="H451" s="132"/>
      <c r="I451" s="132"/>
      <c r="J451" s="132"/>
      <c r="K451" s="132"/>
      <c r="L451" s="132"/>
      <c r="M451" s="132"/>
      <c r="N451" s="140"/>
      <c r="O451" s="132"/>
      <c r="P451" s="132"/>
      <c r="Q451" s="132"/>
      <c r="R451" s="132"/>
      <c r="S451" s="132"/>
      <c r="T451" s="132"/>
      <c r="U451" s="132"/>
      <c r="V451" s="132"/>
      <c r="W451" s="132"/>
      <c r="X451" s="132"/>
      <c r="Y451" s="132"/>
      <c r="Z451" s="132"/>
      <c r="AA451" s="132"/>
      <c r="AB451" s="132"/>
      <c r="AC451" s="132"/>
      <c r="AD451" s="132"/>
      <c r="AE451" s="132"/>
      <c r="AF451" s="132"/>
      <c r="AG451" s="132"/>
      <c r="AH451" s="132"/>
      <c r="AI451" s="132"/>
      <c r="AJ451" s="132"/>
      <c r="AK451" s="132"/>
      <c r="AL451" s="132"/>
      <c r="AM451" s="132"/>
      <c r="AN451" s="132"/>
      <c r="AO451" s="132"/>
      <c r="AP451" s="132"/>
      <c r="AQ451" s="141"/>
      <c r="AR451" s="132"/>
      <c r="AS451" s="132"/>
      <c r="AT451" s="47"/>
      <c r="AU451" s="7"/>
      <c r="AV451" s="134"/>
      <c r="AW451" s="132"/>
      <c r="AX451" s="132"/>
      <c r="AY451" s="132"/>
      <c r="AZ451" s="132"/>
      <c r="BA451" s="10"/>
      <c r="BB451" s="134"/>
      <c r="BC451" s="132"/>
      <c r="BD451" s="132"/>
      <c r="BE451" s="132"/>
      <c r="BF451" s="132"/>
      <c r="BG451" s="11"/>
      <c r="BH451" s="134"/>
      <c r="BI451" s="132"/>
      <c r="BJ451" s="132"/>
      <c r="BK451" s="132"/>
      <c r="BL451" s="132"/>
    </row>
    <row r="452" customFormat="false" ht="13.8" hidden="false" customHeight="false" outlineLevel="0" collapsed="false">
      <c r="A452" s="140"/>
      <c r="B452" s="140"/>
      <c r="C452" s="168"/>
      <c r="D452" s="132"/>
      <c r="E452" s="132"/>
      <c r="F452" s="132"/>
      <c r="G452" s="132"/>
      <c r="H452" s="132"/>
      <c r="I452" s="132"/>
      <c r="J452" s="132"/>
      <c r="K452" s="132"/>
      <c r="L452" s="132"/>
      <c r="M452" s="132"/>
      <c r="N452" s="140"/>
      <c r="O452" s="132"/>
      <c r="P452" s="132"/>
      <c r="Q452" s="132"/>
      <c r="R452" s="132"/>
      <c r="S452" s="132"/>
      <c r="T452" s="132"/>
      <c r="U452" s="132"/>
      <c r="V452" s="132"/>
      <c r="W452" s="132"/>
      <c r="X452" s="132"/>
      <c r="Y452" s="132"/>
      <c r="Z452" s="132"/>
      <c r="AA452" s="132"/>
      <c r="AB452" s="132"/>
      <c r="AC452" s="132"/>
      <c r="AD452" s="132"/>
      <c r="AE452" s="132"/>
      <c r="AF452" s="132"/>
      <c r="AG452" s="132"/>
      <c r="AH452" s="132"/>
      <c r="AI452" s="132"/>
      <c r="AJ452" s="132"/>
      <c r="AK452" s="132"/>
      <c r="AL452" s="132"/>
      <c r="AM452" s="132"/>
      <c r="AN452" s="132"/>
      <c r="AO452" s="132"/>
      <c r="AP452" s="132"/>
      <c r="AQ452" s="141"/>
      <c r="AR452" s="132"/>
      <c r="AS452" s="132"/>
      <c r="AT452" s="47"/>
      <c r="AU452" s="7"/>
      <c r="AV452" s="134"/>
      <c r="AW452" s="132"/>
      <c r="AX452" s="132"/>
      <c r="AY452" s="132"/>
      <c r="AZ452" s="132"/>
      <c r="BA452" s="10"/>
      <c r="BB452" s="134"/>
      <c r="BC452" s="132"/>
      <c r="BD452" s="132"/>
      <c r="BE452" s="132"/>
      <c r="BF452" s="132"/>
      <c r="BG452" s="11"/>
      <c r="BH452" s="134"/>
      <c r="BI452" s="132"/>
      <c r="BJ452" s="132"/>
      <c r="BK452" s="132"/>
      <c r="BL452" s="132"/>
    </row>
    <row r="453" customFormat="false" ht="13.8" hidden="false" customHeight="false" outlineLevel="0" collapsed="false">
      <c r="A453" s="140"/>
      <c r="B453" s="140"/>
      <c r="C453" s="168"/>
      <c r="D453" s="132"/>
      <c r="E453" s="132"/>
      <c r="F453" s="132"/>
      <c r="G453" s="132"/>
      <c r="H453" s="132"/>
      <c r="I453" s="132"/>
      <c r="J453" s="132"/>
      <c r="K453" s="132"/>
      <c r="L453" s="132"/>
      <c r="M453" s="132"/>
      <c r="N453" s="140"/>
      <c r="O453" s="132"/>
      <c r="P453" s="132"/>
      <c r="Q453" s="132"/>
      <c r="R453" s="132"/>
      <c r="S453" s="132"/>
      <c r="T453" s="132"/>
      <c r="U453" s="132"/>
      <c r="V453" s="132"/>
      <c r="W453" s="132"/>
      <c r="X453" s="132"/>
      <c r="Y453" s="132"/>
      <c r="Z453" s="132"/>
      <c r="AA453" s="132"/>
      <c r="AB453" s="132"/>
      <c r="AC453" s="132"/>
      <c r="AD453" s="132"/>
      <c r="AE453" s="132"/>
      <c r="AF453" s="132"/>
      <c r="AG453" s="132"/>
      <c r="AH453" s="132"/>
      <c r="AI453" s="132"/>
      <c r="AJ453" s="132"/>
      <c r="AK453" s="132"/>
      <c r="AL453" s="132"/>
      <c r="AM453" s="132"/>
      <c r="AN453" s="132"/>
      <c r="AO453" s="132"/>
      <c r="AP453" s="132"/>
      <c r="AQ453" s="141"/>
      <c r="AR453" s="132"/>
      <c r="AS453" s="132"/>
      <c r="AT453" s="47"/>
      <c r="AU453" s="7"/>
      <c r="AV453" s="134"/>
      <c r="AW453" s="132"/>
      <c r="AX453" s="132"/>
      <c r="AY453" s="132"/>
      <c r="AZ453" s="132"/>
      <c r="BA453" s="10"/>
      <c r="BB453" s="134"/>
      <c r="BC453" s="132"/>
      <c r="BD453" s="132"/>
      <c r="BE453" s="132"/>
      <c r="BF453" s="132"/>
      <c r="BG453" s="11"/>
      <c r="BH453" s="134"/>
      <c r="BI453" s="132"/>
      <c r="BJ453" s="132"/>
      <c r="BK453" s="132"/>
      <c r="BL453" s="132"/>
    </row>
    <row r="454" customFormat="false" ht="13.8" hidden="false" customHeight="false" outlineLevel="0" collapsed="false">
      <c r="A454" s="140"/>
      <c r="B454" s="140"/>
      <c r="C454" s="168"/>
      <c r="D454" s="132"/>
      <c r="E454" s="132"/>
      <c r="F454" s="132"/>
      <c r="G454" s="132"/>
      <c r="H454" s="132"/>
      <c r="I454" s="132"/>
      <c r="J454" s="132"/>
      <c r="K454" s="132"/>
      <c r="L454" s="132"/>
      <c r="M454" s="132"/>
      <c r="N454" s="140"/>
      <c r="O454" s="132"/>
      <c r="P454" s="132"/>
      <c r="Q454" s="132"/>
      <c r="R454" s="132"/>
      <c r="S454" s="132"/>
      <c r="T454" s="132"/>
      <c r="U454" s="132"/>
      <c r="V454" s="132"/>
      <c r="W454" s="132"/>
      <c r="X454" s="132"/>
      <c r="Y454" s="132"/>
      <c r="Z454" s="132"/>
      <c r="AA454" s="132"/>
      <c r="AB454" s="132"/>
      <c r="AC454" s="132"/>
      <c r="AD454" s="132"/>
      <c r="AE454" s="132"/>
      <c r="AF454" s="132"/>
      <c r="AG454" s="132"/>
      <c r="AH454" s="132"/>
      <c r="AI454" s="132"/>
      <c r="AJ454" s="132"/>
      <c r="AK454" s="132"/>
      <c r="AL454" s="132"/>
      <c r="AM454" s="132"/>
      <c r="AN454" s="132"/>
      <c r="AO454" s="132"/>
      <c r="AP454" s="132"/>
      <c r="AQ454" s="141"/>
      <c r="AR454" s="132"/>
      <c r="AS454" s="132"/>
      <c r="AT454" s="47"/>
      <c r="AU454" s="7"/>
      <c r="AV454" s="134"/>
      <c r="AW454" s="132"/>
      <c r="AX454" s="132"/>
      <c r="AY454" s="132"/>
      <c r="AZ454" s="132"/>
      <c r="BA454" s="10"/>
      <c r="BB454" s="134"/>
      <c r="BC454" s="132"/>
      <c r="BD454" s="132"/>
      <c r="BE454" s="132"/>
      <c r="BF454" s="132"/>
      <c r="BG454" s="11"/>
      <c r="BH454" s="134"/>
      <c r="BI454" s="132"/>
      <c r="BJ454" s="132"/>
      <c r="BK454" s="132"/>
      <c r="BL454" s="132"/>
    </row>
    <row r="455" customFormat="false" ht="13.8" hidden="false" customHeight="false" outlineLevel="0" collapsed="false">
      <c r="A455" s="140"/>
      <c r="B455" s="140"/>
      <c r="C455" s="168"/>
      <c r="D455" s="132"/>
      <c r="E455" s="132"/>
      <c r="F455" s="132"/>
      <c r="G455" s="132"/>
      <c r="H455" s="132"/>
      <c r="I455" s="132"/>
      <c r="J455" s="132"/>
      <c r="K455" s="132"/>
      <c r="L455" s="132"/>
      <c r="M455" s="132"/>
      <c r="N455" s="140"/>
      <c r="O455" s="132"/>
      <c r="P455" s="132"/>
      <c r="Q455" s="132"/>
      <c r="R455" s="132"/>
      <c r="S455" s="132"/>
      <c r="T455" s="132"/>
      <c r="U455" s="132"/>
      <c r="V455" s="132"/>
      <c r="W455" s="132"/>
      <c r="X455" s="132"/>
      <c r="Y455" s="132"/>
      <c r="Z455" s="132"/>
      <c r="AA455" s="132"/>
      <c r="AB455" s="132"/>
      <c r="AC455" s="132"/>
      <c r="AD455" s="132"/>
      <c r="AE455" s="132"/>
      <c r="AF455" s="132"/>
      <c r="AG455" s="132"/>
      <c r="AH455" s="132"/>
      <c r="AI455" s="132"/>
      <c r="AJ455" s="132"/>
      <c r="AK455" s="132"/>
      <c r="AL455" s="132"/>
      <c r="AM455" s="132"/>
      <c r="AN455" s="132"/>
      <c r="AO455" s="132"/>
      <c r="AP455" s="132"/>
      <c r="AQ455" s="141"/>
      <c r="AR455" s="132"/>
      <c r="AS455" s="132"/>
      <c r="AT455" s="47"/>
      <c r="AU455" s="7"/>
      <c r="AV455" s="134"/>
      <c r="AW455" s="132"/>
      <c r="AX455" s="132"/>
      <c r="AY455" s="132"/>
      <c r="AZ455" s="132"/>
      <c r="BA455" s="10"/>
      <c r="BB455" s="134"/>
      <c r="BC455" s="132"/>
      <c r="BD455" s="132"/>
      <c r="BE455" s="132"/>
      <c r="BF455" s="132"/>
      <c r="BG455" s="11"/>
      <c r="BH455" s="134"/>
      <c r="BI455" s="132"/>
      <c r="BJ455" s="132"/>
      <c r="BK455" s="132"/>
      <c r="BL455" s="132"/>
    </row>
    <row r="456" customFormat="false" ht="13.8" hidden="false" customHeight="false" outlineLevel="0" collapsed="false">
      <c r="A456" s="140"/>
      <c r="B456" s="140"/>
      <c r="C456" s="168"/>
      <c r="D456" s="132"/>
      <c r="E456" s="132"/>
      <c r="F456" s="132"/>
      <c r="G456" s="132"/>
      <c r="H456" s="132"/>
      <c r="I456" s="132"/>
      <c r="J456" s="132"/>
      <c r="K456" s="132"/>
      <c r="L456" s="132"/>
      <c r="M456" s="132"/>
      <c r="N456" s="140"/>
      <c r="O456" s="132"/>
      <c r="P456" s="132"/>
      <c r="Q456" s="132"/>
      <c r="R456" s="132"/>
      <c r="S456" s="132"/>
      <c r="T456" s="132"/>
      <c r="U456" s="132"/>
      <c r="V456" s="132"/>
      <c r="W456" s="132"/>
      <c r="X456" s="132"/>
      <c r="Y456" s="132"/>
      <c r="Z456" s="132"/>
      <c r="AA456" s="132"/>
      <c r="AB456" s="132"/>
      <c r="AC456" s="132"/>
      <c r="AD456" s="132"/>
      <c r="AE456" s="132"/>
      <c r="AF456" s="132"/>
      <c r="AG456" s="132"/>
      <c r="AH456" s="132"/>
      <c r="AI456" s="132"/>
      <c r="AJ456" s="132"/>
      <c r="AK456" s="132"/>
      <c r="AL456" s="132"/>
      <c r="AM456" s="132"/>
      <c r="AN456" s="132"/>
      <c r="AO456" s="132"/>
      <c r="AP456" s="132"/>
      <c r="AQ456" s="141"/>
      <c r="AR456" s="132"/>
      <c r="AS456" s="132"/>
      <c r="AT456" s="47"/>
      <c r="AU456" s="7"/>
      <c r="AV456" s="134"/>
      <c r="AW456" s="132"/>
      <c r="AX456" s="132"/>
      <c r="AY456" s="132"/>
      <c r="AZ456" s="132"/>
      <c r="BA456" s="10"/>
      <c r="BB456" s="134"/>
      <c r="BC456" s="132"/>
      <c r="BD456" s="132"/>
      <c r="BE456" s="132"/>
      <c r="BF456" s="132"/>
      <c r="BG456" s="11"/>
      <c r="BH456" s="134"/>
      <c r="BI456" s="132"/>
      <c r="BJ456" s="132"/>
      <c r="BK456" s="132"/>
      <c r="BL456" s="132"/>
    </row>
    <row r="457" customFormat="false" ht="13.8" hidden="false" customHeight="false" outlineLevel="0" collapsed="false">
      <c r="A457" s="140"/>
      <c r="B457" s="140"/>
      <c r="C457" s="168"/>
      <c r="D457" s="132"/>
      <c r="E457" s="132"/>
      <c r="F457" s="132"/>
      <c r="G457" s="132"/>
      <c r="H457" s="132"/>
      <c r="I457" s="132"/>
      <c r="J457" s="132"/>
      <c r="K457" s="132"/>
      <c r="L457" s="132"/>
      <c r="M457" s="132"/>
      <c r="N457" s="140"/>
      <c r="O457" s="132"/>
      <c r="P457" s="132"/>
      <c r="Q457" s="132"/>
      <c r="R457" s="132"/>
      <c r="S457" s="132"/>
      <c r="T457" s="132"/>
      <c r="U457" s="132"/>
      <c r="V457" s="132"/>
      <c r="W457" s="132"/>
      <c r="X457" s="132"/>
      <c r="Y457" s="132"/>
      <c r="Z457" s="132"/>
      <c r="AA457" s="132"/>
      <c r="AB457" s="132"/>
      <c r="AC457" s="132"/>
      <c r="AD457" s="132"/>
      <c r="AE457" s="132"/>
      <c r="AF457" s="132"/>
      <c r="AG457" s="132"/>
      <c r="AH457" s="132"/>
      <c r="AI457" s="132"/>
      <c r="AJ457" s="132"/>
      <c r="AK457" s="132"/>
      <c r="AL457" s="132"/>
      <c r="AM457" s="132"/>
      <c r="AN457" s="132"/>
      <c r="AO457" s="132"/>
      <c r="AP457" s="132"/>
      <c r="AQ457" s="141"/>
      <c r="AR457" s="132"/>
      <c r="AS457" s="132"/>
      <c r="AT457" s="47"/>
      <c r="AU457" s="7"/>
      <c r="AV457" s="134"/>
      <c r="AW457" s="132"/>
      <c r="AX457" s="132"/>
      <c r="AY457" s="132"/>
      <c r="AZ457" s="132"/>
      <c r="BA457" s="10"/>
      <c r="BB457" s="134"/>
      <c r="BC457" s="132"/>
      <c r="BD457" s="132"/>
      <c r="BE457" s="132"/>
      <c r="BF457" s="132"/>
      <c r="BG457" s="11"/>
      <c r="BH457" s="134"/>
      <c r="BI457" s="132"/>
      <c r="BJ457" s="132"/>
      <c r="BK457" s="132"/>
      <c r="BL457" s="132"/>
    </row>
    <row r="458" customFormat="false" ht="13.8" hidden="false" customHeight="false" outlineLevel="0" collapsed="false">
      <c r="A458" s="140"/>
      <c r="B458" s="140"/>
      <c r="C458" s="168"/>
      <c r="D458" s="132"/>
      <c r="E458" s="132"/>
      <c r="F458" s="132"/>
      <c r="G458" s="132"/>
      <c r="H458" s="132"/>
      <c r="I458" s="132"/>
      <c r="J458" s="132"/>
      <c r="K458" s="132"/>
      <c r="L458" s="132"/>
      <c r="M458" s="132"/>
      <c r="N458" s="140"/>
      <c r="O458" s="132"/>
      <c r="P458" s="132"/>
      <c r="Q458" s="132"/>
      <c r="R458" s="132"/>
      <c r="S458" s="132"/>
      <c r="T458" s="132"/>
      <c r="U458" s="132"/>
      <c r="V458" s="132"/>
      <c r="W458" s="132"/>
      <c r="X458" s="132"/>
      <c r="Y458" s="132"/>
      <c r="Z458" s="132"/>
      <c r="AA458" s="132"/>
      <c r="AB458" s="132"/>
      <c r="AC458" s="132"/>
      <c r="AD458" s="132"/>
      <c r="AE458" s="132"/>
      <c r="AF458" s="132"/>
      <c r="AG458" s="132"/>
      <c r="AH458" s="132"/>
      <c r="AI458" s="132"/>
      <c r="AJ458" s="132"/>
      <c r="AK458" s="132"/>
      <c r="AL458" s="132"/>
      <c r="AM458" s="132"/>
      <c r="AN458" s="132"/>
      <c r="AO458" s="132"/>
      <c r="AP458" s="132"/>
      <c r="AQ458" s="141"/>
      <c r="AR458" s="132"/>
      <c r="AS458" s="132"/>
      <c r="AT458" s="47"/>
      <c r="AU458" s="7"/>
      <c r="AV458" s="134"/>
      <c r="AW458" s="132"/>
      <c r="AX458" s="132"/>
      <c r="AY458" s="132"/>
      <c r="AZ458" s="132"/>
      <c r="BA458" s="10"/>
      <c r="BB458" s="134"/>
      <c r="BC458" s="132"/>
      <c r="BD458" s="132"/>
      <c r="BE458" s="132"/>
      <c r="BF458" s="132"/>
      <c r="BG458" s="11"/>
      <c r="BH458" s="134"/>
      <c r="BI458" s="132"/>
      <c r="BJ458" s="132"/>
      <c r="BK458" s="132"/>
      <c r="BL458" s="132"/>
    </row>
    <row r="459" customFormat="false" ht="13.8" hidden="false" customHeight="false" outlineLevel="0" collapsed="false">
      <c r="A459" s="140"/>
      <c r="B459" s="140"/>
      <c r="C459" s="168"/>
      <c r="D459" s="132"/>
      <c r="E459" s="132"/>
      <c r="F459" s="132"/>
      <c r="G459" s="132"/>
      <c r="H459" s="132"/>
      <c r="I459" s="132"/>
      <c r="J459" s="132"/>
      <c r="K459" s="132"/>
      <c r="L459" s="132"/>
      <c r="M459" s="132"/>
      <c r="N459" s="140"/>
      <c r="O459" s="132"/>
      <c r="P459" s="132"/>
      <c r="Q459" s="132"/>
      <c r="R459" s="132"/>
      <c r="S459" s="132"/>
      <c r="T459" s="132"/>
      <c r="U459" s="132"/>
      <c r="V459" s="132"/>
      <c r="W459" s="132"/>
      <c r="X459" s="132"/>
      <c r="Y459" s="132"/>
      <c r="Z459" s="132"/>
      <c r="AA459" s="132"/>
      <c r="AB459" s="132"/>
      <c r="AC459" s="132"/>
      <c r="AD459" s="132"/>
      <c r="AE459" s="132"/>
      <c r="AF459" s="132"/>
      <c r="AG459" s="132"/>
      <c r="AH459" s="132"/>
      <c r="AI459" s="132"/>
      <c r="AJ459" s="132"/>
      <c r="AK459" s="132"/>
      <c r="AL459" s="132"/>
      <c r="AM459" s="132"/>
      <c r="AN459" s="132"/>
      <c r="AO459" s="132"/>
      <c r="AP459" s="132"/>
      <c r="AQ459" s="141"/>
      <c r="AR459" s="132"/>
      <c r="AS459" s="132"/>
      <c r="AT459" s="47"/>
      <c r="AU459" s="7"/>
      <c r="AV459" s="134"/>
      <c r="AW459" s="132"/>
      <c r="AX459" s="132"/>
      <c r="AY459" s="132"/>
      <c r="AZ459" s="132"/>
      <c r="BA459" s="10"/>
      <c r="BB459" s="134"/>
      <c r="BC459" s="132"/>
      <c r="BD459" s="132"/>
      <c r="BE459" s="132"/>
      <c r="BF459" s="132"/>
      <c r="BG459" s="11"/>
      <c r="BH459" s="134"/>
      <c r="BI459" s="132"/>
      <c r="BJ459" s="132"/>
      <c r="BK459" s="132"/>
      <c r="BL459" s="132"/>
    </row>
    <row r="460" customFormat="false" ht="13.8" hidden="false" customHeight="false" outlineLevel="0" collapsed="false">
      <c r="A460" s="140"/>
      <c r="B460" s="140"/>
      <c r="C460" s="168"/>
      <c r="D460" s="132"/>
      <c r="E460" s="132"/>
      <c r="F460" s="132"/>
      <c r="G460" s="132"/>
      <c r="H460" s="132"/>
      <c r="I460" s="132"/>
      <c r="J460" s="132"/>
      <c r="K460" s="132"/>
      <c r="L460" s="132"/>
      <c r="M460" s="132"/>
      <c r="N460" s="140"/>
      <c r="O460" s="132"/>
      <c r="P460" s="132"/>
      <c r="Q460" s="132"/>
      <c r="R460" s="132"/>
      <c r="S460" s="132"/>
      <c r="T460" s="132"/>
      <c r="U460" s="132"/>
      <c r="V460" s="132"/>
      <c r="W460" s="132"/>
      <c r="X460" s="132"/>
      <c r="Y460" s="132"/>
      <c r="Z460" s="132"/>
      <c r="AA460" s="132"/>
      <c r="AB460" s="132"/>
      <c r="AC460" s="132"/>
      <c r="AD460" s="132"/>
      <c r="AE460" s="132"/>
      <c r="AF460" s="132"/>
      <c r="AG460" s="132"/>
      <c r="AH460" s="132"/>
      <c r="AI460" s="132"/>
      <c r="AJ460" s="132"/>
      <c r="AK460" s="132"/>
      <c r="AL460" s="132"/>
      <c r="AM460" s="132"/>
      <c r="AN460" s="132"/>
      <c r="AO460" s="132"/>
      <c r="AP460" s="132"/>
      <c r="AQ460" s="141"/>
      <c r="AR460" s="132"/>
      <c r="AS460" s="132"/>
      <c r="AT460" s="47"/>
      <c r="AU460" s="7"/>
      <c r="AV460" s="134"/>
      <c r="AW460" s="132"/>
      <c r="AX460" s="132"/>
      <c r="AY460" s="132"/>
      <c r="AZ460" s="132"/>
      <c r="BA460" s="10"/>
      <c r="BB460" s="134"/>
      <c r="BC460" s="132"/>
      <c r="BD460" s="132"/>
      <c r="BE460" s="132"/>
      <c r="BF460" s="132"/>
      <c r="BG460" s="11"/>
      <c r="BH460" s="134"/>
      <c r="BI460" s="132"/>
      <c r="BJ460" s="132"/>
      <c r="BK460" s="132"/>
      <c r="BL460" s="132"/>
    </row>
    <row r="461" customFormat="false" ht="13.8" hidden="false" customHeight="false" outlineLevel="0" collapsed="false">
      <c r="A461" s="140"/>
      <c r="B461" s="140"/>
      <c r="C461" s="168"/>
      <c r="D461" s="132"/>
      <c r="E461" s="132"/>
      <c r="F461" s="132"/>
      <c r="G461" s="132"/>
      <c r="H461" s="132"/>
      <c r="I461" s="132"/>
      <c r="J461" s="132"/>
      <c r="K461" s="132"/>
      <c r="L461" s="132"/>
      <c r="M461" s="132"/>
      <c r="N461" s="140"/>
      <c r="O461" s="132"/>
      <c r="P461" s="132"/>
      <c r="Q461" s="132"/>
      <c r="R461" s="132"/>
      <c r="S461" s="132"/>
      <c r="T461" s="132"/>
      <c r="U461" s="132"/>
      <c r="V461" s="132"/>
      <c r="W461" s="132"/>
      <c r="X461" s="132"/>
      <c r="Y461" s="132"/>
      <c r="Z461" s="132"/>
      <c r="AA461" s="132"/>
      <c r="AB461" s="132"/>
      <c r="AC461" s="132"/>
      <c r="AD461" s="132"/>
      <c r="AE461" s="132"/>
      <c r="AF461" s="132"/>
      <c r="AG461" s="132"/>
      <c r="AH461" s="132"/>
      <c r="AI461" s="132"/>
      <c r="AJ461" s="132"/>
      <c r="AK461" s="132"/>
      <c r="AL461" s="132"/>
      <c r="AM461" s="132"/>
      <c r="AN461" s="132"/>
      <c r="AO461" s="132"/>
      <c r="AP461" s="132"/>
      <c r="AQ461" s="141"/>
      <c r="AR461" s="132"/>
      <c r="AS461" s="132"/>
      <c r="AT461" s="47"/>
      <c r="AU461" s="7"/>
      <c r="AV461" s="134"/>
      <c r="AW461" s="132"/>
      <c r="AX461" s="132"/>
      <c r="AY461" s="132"/>
      <c r="AZ461" s="132"/>
      <c r="BA461" s="10"/>
      <c r="BB461" s="134"/>
      <c r="BC461" s="132"/>
      <c r="BD461" s="132"/>
      <c r="BE461" s="132"/>
      <c r="BF461" s="132"/>
      <c r="BG461" s="11"/>
      <c r="BH461" s="134"/>
      <c r="BI461" s="132"/>
      <c r="BJ461" s="132"/>
      <c r="BK461" s="132"/>
      <c r="BL461" s="132"/>
    </row>
    <row r="462" customFormat="false" ht="13.8" hidden="false" customHeight="false" outlineLevel="0" collapsed="false">
      <c r="A462" s="140"/>
      <c r="B462" s="140"/>
      <c r="C462" s="168"/>
      <c r="D462" s="132"/>
      <c r="E462" s="132"/>
      <c r="F462" s="132"/>
      <c r="G462" s="132"/>
      <c r="H462" s="132"/>
      <c r="I462" s="132"/>
      <c r="J462" s="132"/>
      <c r="K462" s="132"/>
      <c r="L462" s="132"/>
      <c r="M462" s="132"/>
      <c r="N462" s="140"/>
      <c r="O462" s="132"/>
      <c r="P462" s="132"/>
      <c r="Q462" s="132"/>
      <c r="R462" s="132"/>
      <c r="S462" s="132"/>
      <c r="T462" s="132"/>
      <c r="U462" s="132"/>
      <c r="V462" s="132"/>
      <c r="W462" s="132"/>
      <c r="X462" s="132"/>
      <c r="Y462" s="132"/>
      <c r="Z462" s="132"/>
      <c r="AA462" s="132"/>
      <c r="AB462" s="132"/>
      <c r="AC462" s="132"/>
      <c r="AD462" s="132"/>
      <c r="AE462" s="132"/>
      <c r="AF462" s="132"/>
      <c r="AG462" s="132"/>
      <c r="AH462" s="132"/>
      <c r="AI462" s="132"/>
      <c r="AJ462" s="132"/>
      <c r="AK462" s="132"/>
      <c r="AL462" s="132"/>
      <c r="AM462" s="132"/>
      <c r="AN462" s="132"/>
      <c r="AO462" s="132"/>
      <c r="AP462" s="132"/>
      <c r="AQ462" s="141"/>
      <c r="AR462" s="132"/>
      <c r="AS462" s="132"/>
      <c r="AT462" s="47"/>
      <c r="AU462" s="7"/>
      <c r="AV462" s="134"/>
      <c r="AW462" s="132"/>
      <c r="AX462" s="132"/>
      <c r="AY462" s="132"/>
      <c r="AZ462" s="132"/>
      <c r="BA462" s="10"/>
      <c r="BB462" s="134"/>
      <c r="BC462" s="132"/>
      <c r="BD462" s="132"/>
      <c r="BE462" s="132"/>
      <c r="BF462" s="132"/>
      <c r="BG462" s="11"/>
      <c r="BH462" s="134"/>
      <c r="BI462" s="132"/>
      <c r="BJ462" s="132"/>
      <c r="BK462" s="132"/>
      <c r="BL462" s="132"/>
    </row>
    <row r="463" customFormat="false" ht="13.8" hidden="false" customHeight="false" outlineLevel="0" collapsed="false">
      <c r="A463" s="140"/>
      <c r="B463" s="140"/>
      <c r="C463" s="168"/>
      <c r="D463" s="132"/>
      <c r="E463" s="132"/>
      <c r="F463" s="132"/>
      <c r="G463" s="132"/>
      <c r="H463" s="132"/>
      <c r="I463" s="132"/>
      <c r="J463" s="132"/>
      <c r="K463" s="132"/>
      <c r="L463" s="132"/>
      <c r="M463" s="132"/>
      <c r="N463" s="140"/>
      <c r="O463" s="132"/>
      <c r="P463" s="132"/>
      <c r="Q463" s="132"/>
      <c r="R463" s="132"/>
      <c r="S463" s="132"/>
      <c r="T463" s="132"/>
      <c r="U463" s="132"/>
      <c r="V463" s="132"/>
      <c r="W463" s="132"/>
      <c r="X463" s="132"/>
      <c r="Y463" s="132"/>
      <c r="Z463" s="132"/>
      <c r="AA463" s="132"/>
      <c r="AB463" s="132"/>
      <c r="AC463" s="132"/>
      <c r="AD463" s="132"/>
      <c r="AE463" s="132"/>
      <c r="AF463" s="132"/>
      <c r="AG463" s="132"/>
      <c r="AH463" s="132"/>
      <c r="AI463" s="132"/>
      <c r="AJ463" s="132"/>
      <c r="AK463" s="132"/>
      <c r="AL463" s="132"/>
      <c r="AM463" s="132"/>
      <c r="AN463" s="132"/>
      <c r="AO463" s="132"/>
      <c r="AP463" s="132"/>
      <c r="AQ463" s="141"/>
      <c r="AR463" s="132"/>
      <c r="AS463" s="132"/>
      <c r="AT463" s="47"/>
      <c r="AU463" s="7"/>
      <c r="AV463" s="134"/>
      <c r="AW463" s="132"/>
      <c r="AX463" s="132"/>
      <c r="AY463" s="132"/>
      <c r="AZ463" s="132"/>
      <c r="BA463" s="10"/>
      <c r="BB463" s="134"/>
      <c r="BC463" s="132"/>
      <c r="BD463" s="132"/>
      <c r="BE463" s="132"/>
      <c r="BF463" s="132"/>
      <c r="BG463" s="11"/>
      <c r="BH463" s="134"/>
      <c r="BI463" s="132"/>
      <c r="BJ463" s="132"/>
      <c r="BK463" s="132"/>
      <c r="BL463" s="132"/>
    </row>
    <row r="464" customFormat="false" ht="13.8" hidden="false" customHeight="false" outlineLevel="0" collapsed="false">
      <c r="A464" s="140"/>
      <c r="B464" s="140"/>
      <c r="C464" s="168"/>
      <c r="D464" s="132"/>
      <c r="E464" s="132"/>
      <c r="F464" s="132"/>
      <c r="G464" s="132"/>
      <c r="H464" s="132"/>
      <c r="I464" s="132"/>
      <c r="J464" s="132"/>
      <c r="K464" s="132"/>
      <c r="L464" s="132"/>
      <c r="M464" s="132"/>
      <c r="N464" s="140"/>
      <c r="O464" s="132"/>
      <c r="P464" s="132"/>
      <c r="Q464" s="132"/>
      <c r="R464" s="132"/>
      <c r="S464" s="132"/>
      <c r="T464" s="132"/>
      <c r="U464" s="132"/>
      <c r="V464" s="132"/>
      <c r="W464" s="132"/>
      <c r="X464" s="132"/>
      <c r="Y464" s="132"/>
      <c r="Z464" s="132"/>
      <c r="AA464" s="132"/>
      <c r="AB464" s="132"/>
      <c r="AC464" s="132"/>
      <c r="AD464" s="132"/>
      <c r="AE464" s="132"/>
      <c r="AF464" s="132"/>
      <c r="AG464" s="132"/>
      <c r="AH464" s="132"/>
      <c r="AI464" s="132"/>
      <c r="AJ464" s="132"/>
      <c r="AK464" s="132"/>
      <c r="AL464" s="132"/>
      <c r="AM464" s="132"/>
      <c r="AN464" s="132"/>
      <c r="AO464" s="132"/>
      <c r="AP464" s="132"/>
      <c r="AQ464" s="141"/>
      <c r="AR464" s="132"/>
      <c r="AS464" s="132"/>
      <c r="AT464" s="47"/>
      <c r="AU464" s="7"/>
      <c r="AV464" s="134"/>
      <c r="AW464" s="132"/>
      <c r="AX464" s="132"/>
      <c r="AY464" s="132"/>
      <c r="AZ464" s="132"/>
      <c r="BA464" s="10"/>
      <c r="BB464" s="134"/>
      <c r="BC464" s="132"/>
      <c r="BD464" s="132"/>
      <c r="BE464" s="132"/>
      <c r="BF464" s="132"/>
      <c r="BG464" s="11"/>
      <c r="BH464" s="134"/>
      <c r="BI464" s="132"/>
      <c r="BJ464" s="132"/>
      <c r="BK464" s="132"/>
      <c r="BL464" s="132"/>
    </row>
    <row r="465" customFormat="false" ht="13.8" hidden="false" customHeight="false" outlineLevel="0" collapsed="false">
      <c r="A465" s="140"/>
      <c r="B465" s="140"/>
      <c r="C465" s="168"/>
      <c r="D465" s="132"/>
      <c r="E465" s="132"/>
      <c r="F465" s="132"/>
      <c r="G465" s="132"/>
      <c r="H465" s="132"/>
      <c r="I465" s="132"/>
      <c r="J465" s="132"/>
      <c r="K465" s="132"/>
      <c r="L465" s="132"/>
      <c r="M465" s="132"/>
      <c r="N465" s="140"/>
      <c r="O465" s="132"/>
      <c r="P465" s="132"/>
      <c r="Q465" s="132"/>
      <c r="R465" s="132"/>
      <c r="S465" s="132"/>
      <c r="T465" s="132"/>
      <c r="U465" s="132"/>
      <c r="V465" s="132"/>
      <c r="W465" s="132"/>
      <c r="X465" s="132"/>
      <c r="Y465" s="132"/>
      <c r="Z465" s="132"/>
      <c r="AA465" s="132"/>
      <c r="AB465" s="132"/>
      <c r="AC465" s="132"/>
      <c r="AD465" s="132"/>
      <c r="AE465" s="132"/>
      <c r="AF465" s="132"/>
      <c r="AG465" s="132"/>
      <c r="AH465" s="132"/>
      <c r="AI465" s="132"/>
      <c r="AJ465" s="132"/>
      <c r="AK465" s="132"/>
      <c r="AL465" s="132"/>
      <c r="AM465" s="132"/>
      <c r="AN465" s="132"/>
      <c r="AO465" s="132"/>
      <c r="AP465" s="132"/>
      <c r="AQ465" s="141"/>
      <c r="AR465" s="132"/>
      <c r="AS465" s="132"/>
      <c r="AT465" s="47"/>
      <c r="AU465" s="7"/>
      <c r="AV465" s="134"/>
      <c r="AW465" s="132"/>
      <c r="AX465" s="132"/>
      <c r="AY465" s="132"/>
      <c r="AZ465" s="132"/>
      <c r="BA465" s="10"/>
      <c r="BB465" s="134"/>
      <c r="BC465" s="132"/>
      <c r="BD465" s="132"/>
      <c r="BE465" s="132"/>
      <c r="BF465" s="132"/>
      <c r="BG465" s="11"/>
      <c r="BH465" s="134"/>
      <c r="BI465" s="132"/>
      <c r="BJ465" s="132"/>
      <c r="BK465" s="132"/>
      <c r="BL465" s="132"/>
    </row>
    <row r="466" customFormat="false" ht="13.8" hidden="false" customHeight="false" outlineLevel="0" collapsed="false">
      <c r="A466" s="140"/>
      <c r="B466" s="140"/>
      <c r="C466" s="168"/>
      <c r="D466" s="132"/>
      <c r="E466" s="132"/>
      <c r="F466" s="132"/>
      <c r="G466" s="132"/>
      <c r="H466" s="132"/>
      <c r="I466" s="132"/>
      <c r="J466" s="132"/>
      <c r="K466" s="132"/>
      <c r="L466" s="132"/>
      <c r="M466" s="132"/>
      <c r="N466" s="140"/>
      <c r="O466" s="132"/>
      <c r="P466" s="132"/>
      <c r="Q466" s="132"/>
      <c r="R466" s="132"/>
      <c r="S466" s="132"/>
      <c r="T466" s="132"/>
      <c r="U466" s="132"/>
      <c r="V466" s="132"/>
      <c r="W466" s="132"/>
      <c r="X466" s="132"/>
      <c r="Y466" s="132"/>
      <c r="Z466" s="132"/>
      <c r="AA466" s="132"/>
      <c r="AB466" s="132"/>
      <c r="AC466" s="132"/>
      <c r="AD466" s="132"/>
      <c r="AE466" s="132"/>
      <c r="AF466" s="132"/>
      <c r="AG466" s="132"/>
      <c r="AH466" s="132"/>
      <c r="AI466" s="132"/>
      <c r="AJ466" s="132"/>
      <c r="AK466" s="132"/>
      <c r="AL466" s="132"/>
      <c r="AM466" s="132"/>
      <c r="AN466" s="132"/>
      <c r="AO466" s="132"/>
      <c r="AP466" s="132"/>
      <c r="AQ466" s="141"/>
      <c r="AR466" s="132"/>
      <c r="AS466" s="132"/>
      <c r="AT466" s="47"/>
      <c r="AU466" s="7"/>
      <c r="AV466" s="134"/>
      <c r="AW466" s="132"/>
      <c r="AX466" s="132"/>
      <c r="AY466" s="132"/>
      <c r="AZ466" s="132"/>
      <c r="BA466" s="10"/>
      <c r="BB466" s="134"/>
      <c r="BC466" s="132"/>
      <c r="BD466" s="132"/>
      <c r="BE466" s="132"/>
      <c r="BF466" s="132"/>
      <c r="BG466" s="11"/>
      <c r="BH466" s="134"/>
      <c r="BI466" s="132"/>
      <c r="BJ466" s="132"/>
      <c r="BK466" s="132"/>
      <c r="BL466" s="132"/>
    </row>
    <row r="467" customFormat="false" ht="13.8" hidden="false" customHeight="false" outlineLevel="0" collapsed="false">
      <c r="A467" s="140"/>
      <c r="B467" s="140"/>
      <c r="C467" s="168"/>
      <c r="D467" s="132"/>
      <c r="E467" s="132"/>
      <c r="F467" s="132"/>
      <c r="G467" s="132"/>
      <c r="H467" s="132"/>
      <c r="I467" s="132"/>
      <c r="J467" s="132"/>
      <c r="K467" s="132"/>
      <c r="L467" s="132"/>
      <c r="M467" s="132"/>
      <c r="N467" s="140"/>
      <c r="O467" s="132"/>
      <c r="P467" s="132"/>
      <c r="Q467" s="132"/>
      <c r="R467" s="132"/>
      <c r="S467" s="132"/>
      <c r="T467" s="132"/>
      <c r="U467" s="132"/>
      <c r="V467" s="132"/>
      <c r="W467" s="132"/>
      <c r="X467" s="132"/>
      <c r="Y467" s="132"/>
      <c r="Z467" s="132"/>
      <c r="AA467" s="132"/>
      <c r="AB467" s="132"/>
      <c r="AC467" s="132"/>
      <c r="AD467" s="132"/>
      <c r="AE467" s="132"/>
      <c r="AF467" s="132"/>
      <c r="AG467" s="132"/>
      <c r="AH467" s="132"/>
      <c r="AI467" s="132"/>
      <c r="AJ467" s="132"/>
      <c r="AK467" s="132"/>
      <c r="AL467" s="132"/>
      <c r="AM467" s="132"/>
      <c r="AN467" s="132"/>
      <c r="AO467" s="132"/>
      <c r="AP467" s="132"/>
      <c r="AQ467" s="141"/>
      <c r="AR467" s="132"/>
      <c r="AS467" s="132"/>
      <c r="AT467" s="47"/>
      <c r="AU467" s="7"/>
      <c r="AV467" s="134"/>
      <c r="AW467" s="132"/>
      <c r="AX467" s="132"/>
      <c r="AY467" s="132"/>
      <c r="AZ467" s="132"/>
      <c r="BA467" s="10"/>
      <c r="BB467" s="134"/>
      <c r="BC467" s="132"/>
      <c r="BD467" s="132"/>
      <c r="BE467" s="132"/>
      <c r="BF467" s="132"/>
      <c r="BG467" s="11"/>
      <c r="BH467" s="134"/>
      <c r="BI467" s="132"/>
      <c r="BJ467" s="132"/>
      <c r="BK467" s="132"/>
      <c r="BL467" s="132"/>
    </row>
    <row r="468" customFormat="false" ht="13.8" hidden="false" customHeight="false" outlineLevel="0" collapsed="false">
      <c r="A468" s="140"/>
      <c r="B468" s="140"/>
      <c r="C468" s="168"/>
      <c r="D468" s="132"/>
      <c r="E468" s="132"/>
      <c r="F468" s="132"/>
      <c r="G468" s="132"/>
      <c r="H468" s="132"/>
      <c r="I468" s="132"/>
      <c r="J468" s="132"/>
      <c r="K468" s="132"/>
      <c r="L468" s="132"/>
      <c r="M468" s="132"/>
      <c r="N468" s="140"/>
      <c r="O468" s="132"/>
      <c r="P468" s="132"/>
      <c r="Q468" s="132"/>
      <c r="R468" s="132"/>
      <c r="S468" s="132"/>
      <c r="T468" s="132"/>
      <c r="U468" s="132"/>
      <c r="V468" s="132"/>
      <c r="W468" s="132"/>
      <c r="X468" s="132"/>
      <c r="Y468" s="132"/>
      <c r="Z468" s="132"/>
      <c r="AA468" s="132"/>
      <c r="AB468" s="132"/>
      <c r="AC468" s="132"/>
      <c r="AD468" s="132"/>
      <c r="AE468" s="132"/>
      <c r="AF468" s="132"/>
      <c r="AG468" s="132"/>
      <c r="AH468" s="132"/>
      <c r="AI468" s="132"/>
      <c r="AJ468" s="132"/>
      <c r="AK468" s="132"/>
      <c r="AL468" s="132"/>
      <c r="AM468" s="132"/>
      <c r="AN468" s="132"/>
      <c r="AO468" s="132"/>
      <c r="AP468" s="132"/>
      <c r="AQ468" s="141"/>
      <c r="AR468" s="132"/>
      <c r="AS468" s="132"/>
      <c r="AT468" s="47"/>
      <c r="AU468" s="7"/>
      <c r="AV468" s="134"/>
      <c r="AW468" s="132"/>
      <c r="AX468" s="132"/>
      <c r="AY468" s="132"/>
      <c r="AZ468" s="132"/>
      <c r="BA468" s="10"/>
      <c r="BB468" s="134"/>
      <c r="BC468" s="132"/>
      <c r="BD468" s="132"/>
      <c r="BE468" s="132"/>
      <c r="BF468" s="132"/>
      <c r="BG468" s="11"/>
      <c r="BH468" s="134"/>
      <c r="BI468" s="132"/>
      <c r="BJ468" s="132"/>
      <c r="BK468" s="132"/>
      <c r="BL468" s="132"/>
    </row>
    <row r="469" customFormat="false" ht="13.8" hidden="false" customHeight="false" outlineLevel="0" collapsed="false">
      <c r="A469" s="140"/>
      <c r="B469" s="140"/>
      <c r="C469" s="168"/>
      <c r="D469" s="132"/>
      <c r="E469" s="132"/>
      <c r="F469" s="132"/>
      <c r="G469" s="132"/>
      <c r="H469" s="132"/>
      <c r="I469" s="132"/>
      <c r="J469" s="132"/>
      <c r="K469" s="132"/>
      <c r="L469" s="132"/>
      <c r="M469" s="132"/>
      <c r="N469" s="140"/>
      <c r="O469" s="132"/>
      <c r="P469" s="132"/>
      <c r="Q469" s="132"/>
      <c r="R469" s="132"/>
      <c r="S469" s="132"/>
      <c r="T469" s="132"/>
      <c r="U469" s="132"/>
      <c r="V469" s="132"/>
      <c r="W469" s="132"/>
      <c r="X469" s="132"/>
      <c r="Y469" s="132"/>
      <c r="Z469" s="132"/>
      <c r="AA469" s="132"/>
      <c r="AB469" s="132"/>
      <c r="AC469" s="132"/>
      <c r="AD469" s="132"/>
      <c r="AE469" s="132"/>
      <c r="AF469" s="132"/>
      <c r="AG469" s="132"/>
      <c r="AH469" s="132"/>
      <c r="AI469" s="132"/>
      <c r="AJ469" s="132"/>
      <c r="AK469" s="132"/>
      <c r="AL469" s="132"/>
      <c r="AM469" s="132"/>
      <c r="AN469" s="132"/>
      <c r="AO469" s="132"/>
      <c r="AP469" s="132"/>
      <c r="AQ469" s="141"/>
      <c r="AR469" s="132"/>
      <c r="AS469" s="132"/>
      <c r="AT469" s="47"/>
      <c r="AU469" s="7"/>
      <c r="AV469" s="134"/>
      <c r="AW469" s="132"/>
      <c r="AX469" s="132"/>
      <c r="AY469" s="132"/>
      <c r="AZ469" s="132"/>
      <c r="BA469" s="10"/>
      <c r="BB469" s="134"/>
      <c r="BC469" s="132"/>
      <c r="BD469" s="132"/>
      <c r="BE469" s="132"/>
      <c r="BF469" s="132"/>
      <c r="BG469" s="11"/>
      <c r="BH469" s="134"/>
      <c r="BI469" s="132"/>
      <c r="BJ469" s="132"/>
      <c r="BK469" s="132"/>
      <c r="BL469" s="132"/>
    </row>
    <row r="470" customFormat="false" ht="13.8" hidden="false" customHeight="false" outlineLevel="0" collapsed="false">
      <c r="A470" s="140"/>
      <c r="B470" s="140"/>
      <c r="C470" s="168"/>
      <c r="D470" s="132"/>
      <c r="E470" s="132"/>
      <c r="F470" s="132"/>
      <c r="G470" s="132"/>
      <c r="H470" s="132"/>
      <c r="I470" s="132"/>
      <c r="J470" s="132"/>
      <c r="K470" s="132"/>
      <c r="L470" s="132"/>
      <c r="M470" s="132"/>
      <c r="N470" s="140"/>
      <c r="O470" s="132"/>
      <c r="P470" s="132"/>
      <c r="Q470" s="132"/>
      <c r="R470" s="132"/>
      <c r="S470" s="132"/>
      <c r="T470" s="132"/>
      <c r="U470" s="132"/>
      <c r="V470" s="132"/>
      <c r="W470" s="132"/>
      <c r="X470" s="132"/>
      <c r="Y470" s="132"/>
      <c r="Z470" s="132"/>
      <c r="AA470" s="132"/>
      <c r="AB470" s="132"/>
      <c r="AC470" s="132"/>
      <c r="AD470" s="132"/>
      <c r="AE470" s="132"/>
      <c r="AF470" s="132"/>
      <c r="AG470" s="132"/>
      <c r="AH470" s="132"/>
      <c r="AI470" s="132"/>
      <c r="AJ470" s="132"/>
      <c r="AK470" s="132"/>
      <c r="AL470" s="132"/>
      <c r="AM470" s="132"/>
      <c r="AN470" s="132"/>
      <c r="AO470" s="132"/>
      <c r="AP470" s="132"/>
      <c r="AQ470" s="141"/>
      <c r="AR470" s="132"/>
      <c r="AS470" s="132"/>
      <c r="AT470" s="47"/>
      <c r="AU470" s="7"/>
      <c r="AV470" s="134"/>
      <c r="AW470" s="132"/>
      <c r="AX470" s="132"/>
      <c r="AY470" s="132"/>
      <c r="AZ470" s="132"/>
      <c r="BA470" s="10"/>
      <c r="BB470" s="134"/>
      <c r="BC470" s="132"/>
      <c r="BD470" s="132"/>
      <c r="BE470" s="132"/>
      <c r="BF470" s="132"/>
      <c r="BG470" s="11"/>
      <c r="BH470" s="134"/>
      <c r="BI470" s="132"/>
      <c r="BJ470" s="132"/>
      <c r="BK470" s="132"/>
      <c r="BL470" s="132"/>
    </row>
    <row r="471" customFormat="false" ht="13.8" hidden="false" customHeight="false" outlineLevel="0" collapsed="false">
      <c r="A471" s="140"/>
      <c r="B471" s="140"/>
      <c r="C471" s="168"/>
      <c r="D471" s="132"/>
      <c r="E471" s="132"/>
      <c r="F471" s="132"/>
      <c r="G471" s="132"/>
      <c r="H471" s="132"/>
      <c r="I471" s="132"/>
      <c r="J471" s="132"/>
      <c r="K471" s="132"/>
      <c r="L471" s="132"/>
      <c r="M471" s="132"/>
      <c r="N471" s="140"/>
      <c r="O471" s="132"/>
      <c r="P471" s="132"/>
      <c r="Q471" s="132"/>
      <c r="R471" s="132"/>
      <c r="S471" s="132"/>
      <c r="T471" s="132"/>
      <c r="U471" s="132"/>
      <c r="V471" s="132"/>
      <c r="W471" s="132"/>
      <c r="X471" s="132"/>
      <c r="Y471" s="132"/>
      <c r="Z471" s="132"/>
      <c r="AA471" s="132"/>
      <c r="AB471" s="132"/>
      <c r="AC471" s="132"/>
      <c r="AD471" s="132"/>
      <c r="AE471" s="132"/>
      <c r="AF471" s="132"/>
      <c r="AG471" s="132"/>
      <c r="AH471" s="132"/>
      <c r="AI471" s="132"/>
      <c r="AJ471" s="132"/>
      <c r="AK471" s="132"/>
      <c r="AL471" s="132"/>
      <c r="AM471" s="132"/>
      <c r="AN471" s="132"/>
      <c r="AO471" s="132"/>
      <c r="AP471" s="132"/>
      <c r="AQ471" s="141"/>
      <c r="AR471" s="132"/>
      <c r="AS471" s="132"/>
      <c r="AT471" s="47"/>
      <c r="AU471" s="7"/>
      <c r="AV471" s="134"/>
      <c r="AW471" s="132"/>
      <c r="AX471" s="132"/>
      <c r="AY471" s="132"/>
      <c r="AZ471" s="132"/>
      <c r="BA471" s="10"/>
      <c r="BB471" s="134"/>
      <c r="BC471" s="132"/>
      <c r="BD471" s="132"/>
      <c r="BE471" s="132"/>
      <c r="BF471" s="132"/>
      <c r="BG471" s="11"/>
      <c r="BH471" s="134"/>
      <c r="BI471" s="132"/>
      <c r="BJ471" s="132"/>
      <c r="BK471" s="132"/>
      <c r="BL471" s="132"/>
    </row>
    <row r="472" customFormat="false" ht="13.8" hidden="false" customHeight="false" outlineLevel="0" collapsed="false">
      <c r="A472" s="140"/>
      <c r="B472" s="140"/>
      <c r="C472" s="168"/>
      <c r="D472" s="132"/>
      <c r="E472" s="132"/>
      <c r="F472" s="132"/>
      <c r="G472" s="132"/>
      <c r="H472" s="132"/>
      <c r="I472" s="132"/>
      <c r="J472" s="132"/>
      <c r="K472" s="132"/>
      <c r="L472" s="132"/>
      <c r="M472" s="132"/>
      <c r="N472" s="140"/>
      <c r="O472" s="132"/>
      <c r="P472" s="132"/>
      <c r="Q472" s="132"/>
      <c r="R472" s="132"/>
      <c r="S472" s="132"/>
      <c r="T472" s="132"/>
      <c r="U472" s="132"/>
      <c r="V472" s="132"/>
      <c r="W472" s="132"/>
      <c r="X472" s="132"/>
      <c r="Y472" s="132"/>
      <c r="Z472" s="132"/>
      <c r="AA472" s="132"/>
      <c r="AB472" s="132"/>
      <c r="AC472" s="132"/>
      <c r="AD472" s="132"/>
      <c r="AE472" s="132"/>
      <c r="AF472" s="132"/>
      <c r="AG472" s="132"/>
      <c r="AH472" s="132"/>
      <c r="AI472" s="132"/>
      <c r="AJ472" s="132"/>
      <c r="AK472" s="132"/>
      <c r="AL472" s="132"/>
      <c r="AM472" s="132"/>
      <c r="AN472" s="132"/>
      <c r="AO472" s="132"/>
      <c r="AP472" s="132"/>
      <c r="AQ472" s="141"/>
      <c r="AR472" s="132"/>
      <c r="AS472" s="132"/>
      <c r="AT472" s="47"/>
      <c r="AU472" s="7"/>
      <c r="AV472" s="134"/>
      <c r="AW472" s="132"/>
      <c r="AX472" s="132"/>
      <c r="AY472" s="132"/>
      <c r="AZ472" s="132"/>
      <c r="BA472" s="10"/>
      <c r="BB472" s="134"/>
      <c r="BC472" s="132"/>
      <c r="BD472" s="132"/>
      <c r="BE472" s="132"/>
      <c r="BF472" s="132"/>
      <c r="BG472" s="11"/>
      <c r="BH472" s="134"/>
      <c r="BI472" s="132"/>
      <c r="BJ472" s="132"/>
      <c r="BK472" s="132"/>
      <c r="BL472" s="132"/>
    </row>
    <row r="473" customFormat="false" ht="13.8" hidden="false" customHeight="false" outlineLevel="0" collapsed="false">
      <c r="A473" s="140"/>
      <c r="B473" s="140"/>
      <c r="C473" s="168"/>
      <c r="D473" s="132"/>
      <c r="E473" s="132"/>
      <c r="F473" s="132"/>
      <c r="G473" s="132"/>
      <c r="H473" s="132"/>
      <c r="I473" s="132"/>
      <c r="J473" s="132"/>
      <c r="K473" s="132"/>
      <c r="L473" s="132"/>
      <c r="M473" s="132"/>
      <c r="N473" s="140"/>
      <c r="O473" s="132"/>
      <c r="P473" s="132"/>
      <c r="Q473" s="132"/>
      <c r="R473" s="132"/>
      <c r="S473" s="132"/>
      <c r="T473" s="132"/>
      <c r="U473" s="132"/>
      <c r="V473" s="132"/>
      <c r="W473" s="132"/>
      <c r="X473" s="132"/>
      <c r="Y473" s="132"/>
      <c r="Z473" s="132"/>
      <c r="AA473" s="132"/>
      <c r="AB473" s="132"/>
      <c r="AC473" s="132"/>
      <c r="AD473" s="132"/>
      <c r="AE473" s="132"/>
      <c r="AF473" s="132"/>
      <c r="AG473" s="132"/>
      <c r="AH473" s="132"/>
      <c r="AI473" s="132"/>
      <c r="AJ473" s="132"/>
      <c r="AK473" s="132"/>
      <c r="AL473" s="132"/>
      <c r="AM473" s="132"/>
      <c r="AN473" s="132"/>
      <c r="AO473" s="132"/>
      <c r="AP473" s="132"/>
      <c r="AQ473" s="141"/>
      <c r="AR473" s="132"/>
      <c r="AS473" s="132"/>
      <c r="AT473" s="47"/>
      <c r="AU473" s="7"/>
      <c r="AV473" s="134"/>
      <c r="AW473" s="132"/>
      <c r="AX473" s="132"/>
      <c r="AY473" s="132"/>
      <c r="AZ473" s="132"/>
      <c r="BA473" s="10"/>
      <c r="BB473" s="134"/>
      <c r="BC473" s="132"/>
      <c r="BD473" s="132"/>
      <c r="BE473" s="132"/>
      <c r="BF473" s="132"/>
      <c r="BG473" s="11"/>
      <c r="BH473" s="134"/>
      <c r="BI473" s="132"/>
      <c r="BJ473" s="132"/>
      <c r="BK473" s="132"/>
      <c r="BL473" s="132"/>
    </row>
    <row r="474" customFormat="false" ht="13.8" hidden="false" customHeight="false" outlineLevel="0" collapsed="false">
      <c r="A474" s="140"/>
      <c r="B474" s="140"/>
      <c r="C474" s="168"/>
      <c r="D474" s="132"/>
      <c r="E474" s="132"/>
      <c r="F474" s="132"/>
      <c r="G474" s="132"/>
      <c r="H474" s="132"/>
      <c r="I474" s="132"/>
      <c r="J474" s="132"/>
      <c r="K474" s="132"/>
      <c r="L474" s="132"/>
      <c r="M474" s="132"/>
      <c r="N474" s="140"/>
      <c r="O474" s="132"/>
      <c r="P474" s="132"/>
      <c r="Q474" s="132"/>
      <c r="R474" s="132"/>
      <c r="S474" s="132"/>
      <c r="T474" s="132"/>
      <c r="U474" s="132"/>
      <c r="V474" s="132"/>
      <c r="W474" s="132"/>
      <c r="X474" s="132"/>
      <c r="Y474" s="132"/>
      <c r="Z474" s="132"/>
      <c r="AA474" s="132"/>
      <c r="AB474" s="132"/>
      <c r="AC474" s="132"/>
      <c r="AD474" s="132"/>
      <c r="AE474" s="132"/>
      <c r="AF474" s="132"/>
      <c r="AG474" s="132"/>
      <c r="AH474" s="132"/>
      <c r="AI474" s="132"/>
      <c r="AJ474" s="132"/>
      <c r="AK474" s="132"/>
      <c r="AL474" s="132"/>
      <c r="AM474" s="132"/>
      <c r="AN474" s="132"/>
      <c r="AO474" s="132"/>
      <c r="AP474" s="132"/>
      <c r="AQ474" s="141"/>
      <c r="AR474" s="132"/>
      <c r="AS474" s="132"/>
      <c r="AT474" s="47"/>
      <c r="AU474" s="7"/>
      <c r="AV474" s="134"/>
      <c r="AW474" s="132"/>
      <c r="AX474" s="132"/>
      <c r="AY474" s="132"/>
      <c r="AZ474" s="132"/>
      <c r="BA474" s="10"/>
      <c r="BB474" s="134"/>
      <c r="BC474" s="132"/>
      <c r="BD474" s="132"/>
      <c r="BE474" s="132"/>
      <c r="BF474" s="132"/>
      <c r="BG474" s="11"/>
      <c r="BH474" s="134"/>
      <c r="BI474" s="132"/>
      <c r="BJ474" s="132"/>
      <c r="BK474" s="132"/>
      <c r="BL474" s="132"/>
    </row>
    <row r="475" customFormat="false" ht="13.8" hidden="false" customHeight="false" outlineLevel="0" collapsed="false">
      <c r="A475" s="140"/>
      <c r="B475" s="140"/>
      <c r="C475" s="168"/>
      <c r="D475" s="132"/>
      <c r="E475" s="132"/>
      <c r="F475" s="132"/>
      <c r="G475" s="132"/>
      <c r="H475" s="132"/>
      <c r="I475" s="132"/>
      <c r="J475" s="132"/>
      <c r="K475" s="132"/>
      <c r="L475" s="132"/>
      <c r="M475" s="132"/>
      <c r="N475" s="140"/>
      <c r="O475" s="132"/>
      <c r="P475" s="132"/>
      <c r="Q475" s="132"/>
      <c r="R475" s="132"/>
      <c r="S475" s="132"/>
      <c r="T475" s="132"/>
      <c r="U475" s="132"/>
      <c r="V475" s="132"/>
      <c r="W475" s="132"/>
      <c r="X475" s="132"/>
      <c r="Y475" s="132"/>
      <c r="Z475" s="132"/>
      <c r="AA475" s="132"/>
      <c r="AB475" s="132"/>
      <c r="AC475" s="132"/>
      <c r="AD475" s="132"/>
      <c r="AE475" s="132"/>
      <c r="AF475" s="132"/>
      <c r="AG475" s="132"/>
      <c r="AH475" s="132"/>
      <c r="AI475" s="132"/>
      <c r="AJ475" s="132"/>
      <c r="AK475" s="132"/>
      <c r="AL475" s="132"/>
      <c r="AM475" s="132"/>
      <c r="AN475" s="132"/>
      <c r="AO475" s="132"/>
      <c r="AP475" s="132"/>
      <c r="AQ475" s="141"/>
      <c r="AR475" s="132"/>
      <c r="AS475" s="132"/>
      <c r="AT475" s="47"/>
      <c r="AU475" s="7"/>
      <c r="AV475" s="134"/>
      <c r="AW475" s="132"/>
      <c r="AX475" s="132"/>
      <c r="AY475" s="132"/>
      <c r="AZ475" s="132"/>
      <c r="BA475" s="10"/>
      <c r="BB475" s="134"/>
      <c r="BC475" s="132"/>
      <c r="BD475" s="132"/>
      <c r="BE475" s="132"/>
      <c r="BF475" s="132"/>
      <c r="BG475" s="11"/>
      <c r="BH475" s="134"/>
      <c r="BI475" s="132"/>
      <c r="BJ475" s="132"/>
      <c r="BK475" s="132"/>
      <c r="BL475" s="132"/>
    </row>
    <row r="476" customFormat="false" ht="13.8" hidden="false" customHeight="false" outlineLevel="0" collapsed="false">
      <c r="A476" s="140"/>
      <c r="B476" s="140"/>
      <c r="C476" s="168"/>
      <c r="D476" s="132"/>
      <c r="E476" s="132"/>
      <c r="F476" s="132"/>
      <c r="G476" s="132"/>
      <c r="H476" s="132"/>
      <c r="I476" s="132"/>
      <c r="J476" s="132"/>
      <c r="K476" s="132"/>
      <c r="L476" s="132"/>
      <c r="M476" s="132"/>
      <c r="N476" s="140"/>
      <c r="O476" s="132"/>
      <c r="P476" s="132"/>
      <c r="Q476" s="132"/>
      <c r="R476" s="132"/>
      <c r="S476" s="132"/>
      <c r="T476" s="132"/>
      <c r="U476" s="132"/>
      <c r="V476" s="132"/>
      <c r="W476" s="132"/>
      <c r="X476" s="132"/>
      <c r="Y476" s="132"/>
      <c r="Z476" s="132"/>
      <c r="AA476" s="132"/>
      <c r="AB476" s="132"/>
      <c r="AC476" s="132"/>
      <c r="AD476" s="132"/>
      <c r="AE476" s="132"/>
      <c r="AF476" s="132"/>
      <c r="AG476" s="132"/>
      <c r="AH476" s="132"/>
      <c r="AI476" s="132"/>
      <c r="AJ476" s="132"/>
      <c r="AK476" s="132"/>
      <c r="AL476" s="132"/>
      <c r="AM476" s="132"/>
      <c r="AN476" s="132"/>
      <c r="AO476" s="132"/>
      <c r="AP476" s="132"/>
      <c r="AQ476" s="141"/>
      <c r="AR476" s="132"/>
      <c r="AS476" s="132"/>
      <c r="AT476" s="47"/>
      <c r="AU476" s="7"/>
      <c r="AV476" s="134"/>
      <c r="AW476" s="132"/>
      <c r="AX476" s="132"/>
      <c r="AY476" s="132"/>
      <c r="AZ476" s="132"/>
      <c r="BA476" s="10"/>
      <c r="BB476" s="134"/>
      <c r="BC476" s="132"/>
      <c r="BD476" s="132"/>
      <c r="BE476" s="132"/>
      <c r="BF476" s="132"/>
      <c r="BG476" s="11"/>
      <c r="BH476" s="134"/>
      <c r="BI476" s="132"/>
      <c r="BJ476" s="132"/>
      <c r="BK476" s="132"/>
      <c r="BL476" s="132"/>
    </row>
    <row r="477" customFormat="false" ht="13.8" hidden="false" customHeight="false" outlineLevel="0" collapsed="false">
      <c r="A477" s="140"/>
      <c r="B477" s="140"/>
      <c r="C477" s="168"/>
      <c r="D477" s="132"/>
      <c r="E477" s="132"/>
      <c r="F477" s="132"/>
      <c r="G477" s="132"/>
      <c r="H477" s="132"/>
      <c r="I477" s="132"/>
      <c r="J477" s="132"/>
      <c r="K477" s="132"/>
      <c r="L477" s="132"/>
      <c r="M477" s="132"/>
      <c r="N477" s="140"/>
      <c r="O477" s="132"/>
      <c r="P477" s="132"/>
      <c r="Q477" s="132"/>
      <c r="R477" s="132"/>
      <c r="S477" s="132"/>
      <c r="T477" s="132"/>
      <c r="U477" s="132"/>
      <c r="V477" s="132"/>
      <c r="W477" s="132"/>
      <c r="X477" s="132"/>
      <c r="Y477" s="132"/>
      <c r="Z477" s="132"/>
      <c r="AA477" s="132"/>
      <c r="AB477" s="132"/>
      <c r="AC477" s="132"/>
      <c r="AD477" s="132"/>
      <c r="AE477" s="132"/>
      <c r="AF477" s="132"/>
      <c r="AG477" s="132"/>
      <c r="AH477" s="132"/>
      <c r="AI477" s="132"/>
      <c r="AJ477" s="132"/>
      <c r="AK477" s="132"/>
      <c r="AL477" s="132"/>
      <c r="AM477" s="132"/>
      <c r="AN477" s="132"/>
      <c r="AO477" s="132"/>
      <c r="AP477" s="132"/>
      <c r="AQ477" s="141"/>
      <c r="AR477" s="132"/>
      <c r="AS477" s="132"/>
      <c r="AT477" s="47"/>
      <c r="AU477" s="7"/>
      <c r="AV477" s="134"/>
      <c r="AW477" s="132"/>
      <c r="AX477" s="132"/>
      <c r="AY477" s="132"/>
      <c r="AZ477" s="132"/>
      <c r="BA477" s="10"/>
      <c r="BB477" s="134"/>
      <c r="BC477" s="132"/>
      <c r="BD477" s="132"/>
      <c r="BE477" s="132"/>
      <c r="BF477" s="132"/>
      <c r="BG477" s="11"/>
      <c r="BH477" s="134"/>
      <c r="BI477" s="132"/>
      <c r="BJ477" s="132"/>
      <c r="BK477" s="132"/>
      <c r="BL477" s="132"/>
    </row>
    <row r="478" customFormat="false" ht="13.8" hidden="false" customHeight="false" outlineLevel="0" collapsed="false">
      <c r="A478" s="140"/>
      <c r="B478" s="140"/>
      <c r="C478" s="168"/>
      <c r="D478" s="132"/>
      <c r="E478" s="132"/>
      <c r="F478" s="132"/>
      <c r="G478" s="132"/>
      <c r="H478" s="132"/>
      <c r="I478" s="132"/>
      <c r="J478" s="132"/>
      <c r="K478" s="132"/>
      <c r="L478" s="132"/>
      <c r="M478" s="132"/>
      <c r="N478" s="140"/>
      <c r="O478" s="132"/>
      <c r="P478" s="132"/>
      <c r="Q478" s="132"/>
      <c r="R478" s="132"/>
      <c r="S478" s="132"/>
      <c r="T478" s="132"/>
      <c r="U478" s="132"/>
      <c r="V478" s="132"/>
      <c r="W478" s="132"/>
      <c r="X478" s="132"/>
      <c r="Y478" s="132"/>
      <c r="Z478" s="132"/>
      <c r="AA478" s="132"/>
      <c r="AB478" s="132"/>
      <c r="AC478" s="132"/>
      <c r="AD478" s="132"/>
      <c r="AE478" s="132"/>
      <c r="AF478" s="132"/>
      <c r="AG478" s="132"/>
      <c r="AH478" s="132"/>
      <c r="AI478" s="132"/>
      <c r="AJ478" s="132"/>
      <c r="AK478" s="132"/>
      <c r="AL478" s="132"/>
      <c r="AM478" s="132"/>
      <c r="AN478" s="132"/>
      <c r="AO478" s="132"/>
      <c r="AP478" s="132"/>
      <c r="AQ478" s="141"/>
      <c r="AR478" s="132"/>
      <c r="AS478" s="132"/>
      <c r="AT478" s="47"/>
      <c r="AU478" s="7"/>
      <c r="AV478" s="134"/>
      <c r="AW478" s="132"/>
      <c r="AX478" s="132"/>
      <c r="AY478" s="132"/>
      <c r="AZ478" s="132"/>
      <c r="BA478" s="10"/>
      <c r="BB478" s="134"/>
      <c r="BC478" s="132"/>
      <c r="BD478" s="132"/>
      <c r="BE478" s="132"/>
      <c r="BF478" s="132"/>
      <c r="BG478" s="11"/>
      <c r="BH478" s="134"/>
      <c r="BI478" s="132"/>
      <c r="BJ478" s="132"/>
      <c r="BK478" s="132"/>
      <c r="BL478" s="132"/>
    </row>
    <row r="479" customFormat="false" ht="13.8" hidden="false" customHeight="false" outlineLevel="0" collapsed="false">
      <c r="A479" s="140"/>
      <c r="B479" s="140"/>
      <c r="C479" s="168"/>
      <c r="D479" s="132"/>
      <c r="E479" s="132"/>
      <c r="F479" s="132"/>
      <c r="G479" s="132"/>
      <c r="H479" s="132"/>
      <c r="I479" s="132"/>
      <c r="J479" s="132"/>
      <c r="K479" s="132"/>
      <c r="L479" s="132"/>
      <c r="M479" s="132"/>
      <c r="N479" s="140"/>
      <c r="O479" s="132"/>
      <c r="P479" s="132"/>
      <c r="Q479" s="132"/>
      <c r="R479" s="132"/>
      <c r="S479" s="132"/>
      <c r="T479" s="132"/>
      <c r="U479" s="132"/>
      <c r="V479" s="132"/>
      <c r="W479" s="132"/>
      <c r="X479" s="132"/>
      <c r="Y479" s="132"/>
      <c r="Z479" s="132"/>
      <c r="AA479" s="132"/>
      <c r="AB479" s="132"/>
      <c r="AC479" s="132"/>
      <c r="AD479" s="132"/>
      <c r="AE479" s="132"/>
      <c r="AF479" s="132"/>
      <c r="AG479" s="132"/>
      <c r="AH479" s="132"/>
      <c r="AI479" s="132"/>
      <c r="AJ479" s="132"/>
      <c r="AK479" s="132"/>
      <c r="AL479" s="132"/>
      <c r="AM479" s="132"/>
      <c r="AN479" s="132"/>
      <c r="AO479" s="132"/>
      <c r="AP479" s="132"/>
      <c r="AQ479" s="141"/>
      <c r="AR479" s="132"/>
      <c r="AS479" s="132"/>
      <c r="AT479" s="47"/>
      <c r="AU479" s="7"/>
      <c r="AV479" s="134"/>
      <c r="AW479" s="132"/>
      <c r="AX479" s="132"/>
      <c r="AY479" s="132"/>
      <c r="AZ479" s="132"/>
      <c r="BA479" s="10"/>
      <c r="BB479" s="134"/>
      <c r="BC479" s="132"/>
      <c r="BD479" s="132"/>
      <c r="BE479" s="132"/>
      <c r="BF479" s="132"/>
      <c r="BG479" s="11"/>
      <c r="BH479" s="134"/>
      <c r="BI479" s="132"/>
      <c r="BJ479" s="132"/>
      <c r="BK479" s="132"/>
      <c r="BL479" s="132"/>
    </row>
    <row r="480" customFormat="false" ht="13.8" hidden="false" customHeight="false" outlineLevel="0" collapsed="false">
      <c r="A480" s="140"/>
      <c r="B480" s="140"/>
      <c r="C480" s="168"/>
      <c r="D480" s="132"/>
      <c r="E480" s="132"/>
      <c r="F480" s="132"/>
      <c r="G480" s="132"/>
      <c r="H480" s="132"/>
      <c r="I480" s="132"/>
      <c r="J480" s="132"/>
      <c r="K480" s="132"/>
      <c r="L480" s="132"/>
      <c r="M480" s="132"/>
      <c r="N480" s="140"/>
      <c r="O480" s="132"/>
      <c r="P480" s="132"/>
      <c r="Q480" s="132"/>
      <c r="R480" s="132"/>
      <c r="S480" s="132"/>
      <c r="T480" s="132"/>
      <c r="U480" s="132"/>
      <c r="V480" s="132"/>
      <c r="W480" s="132"/>
      <c r="X480" s="132"/>
      <c r="Y480" s="132"/>
      <c r="Z480" s="132"/>
      <c r="AA480" s="132"/>
      <c r="AB480" s="132"/>
      <c r="AC480" s="132"/>
      <c r="AD480" s="132"/>
      <c r="AE480" s="132"/>
      <c r="AF480" s="132"/>
      <c r="AG480" s="132"/>
      <c r="AH480" s="132"/>
      <c r="AI480" s="132"/>
      <c r="AJ480" s="132"/>
      <c r="AK480" s="132"/>
      <c r="AL480" s="132"/>
      <c r="AM480" s="132"/>
      <c r="AN480" s="132"/>
      <c r="AO480" s="132"/>
      <c r="AP480" s="132"/>
      <c r="AQ480" s="141"/>
      <c r="AR480" s="132"/>
      <c r="AS480" s="132"/>
      <c r="AT480" s="47"/>
      <c r="AU480" s="7"/>
      <c r="AV480" s="134"/>
      <c r="AW480" s="132"/>
      <c r="AX480" s="132"/>
      <c r="AY480" s="132"/>
      <c r="AZ480" s="132"/>
      <c r="BA480" s="10"/>
      <c r="BB480" s="134"/>
      <c r="BC480" s="132"/>
      <c r="BD480" s="132"/>
      <c r="BE480" s="132"/>
      <c r="BF480" s="132"/>
      <c r="BG480" s="11"/>
      <c r="BH480" s="134"/>
      <c r="BI480" s="132"/>
      <c r="BJ480" s="132"/>
      <c r="BK480" s="132"/>
      <c r="BL480" s="132"/>
    </row>
    <row r="481" customFormat="false" ht="13.8" hidden="false" customHeight="false" outlineLevel="0" collapsed="false">
      <c r="A481" s="140"/>
      <c r="B481" s="140"/>
      <c r="C481" s="168"/>
      <c r="D481" s="132"/>
      <c r="E481" s="132"/>
      <c r="F481" s="132"/>
      <c r="G481" s="132"/>
      <c r="H481" s="132"/>
      <c r="I481" s="132"/>
      <c r="J481" s="132"/>
      <c r="K481" s="132"/>
      <c r="L481" s="132"/>
      <c r="M481" s="132"/>
      <c r="N481" s="140"/>
      <c r="O481" s="132"/>
      <c r="P481" s="132"/>
      <c r="Q481" s="132"/>
      <c r="R481" s="132"/>
      <c r="S481" s="132"/>
      <c r="T481" s="132"/>
      <c r="U481" s="132"/>
      <c r="V481" s="132"/>
      <c r="W481" s="132"/>
      <c r="X481" s="132"/>
      <c r="Y481" s="132"/>
      <c r="Z481" s="132"/>
      <c r="AA481" s="132"/>
      <c r="AB481" s="132"/>
      <c r="AC481" s="132"/>
      <c r="AD481" s="132"/>
      <c r="AE481" s="132"/>
      <c r="AF481" s="132"/>
      <c r="AG481" s="132"/>
      <c r="AH481" s="132"/>
      <c r="AI481" s="132"/>
      <c r="AJ481" s="132"/>
      <c r="AK481" s="132"/>
      <c r="AL481" s="132"/>
      <c r="AM481" s="132"/>
      <c r="AN481" s="132"/>
      <c r="AO481" s="132"/>
      <c r="AP481" s="132"/>
      <c r="AQ481" s="141"/>
      <c r="AR481" s="132"/>
      <c r="AS481" s="132"/>
      <c r="AT481" s="47"/>
      <c r="AU481" s="7"/>
      <c r="AV481" s="134"/>
      <c r="AW481" s="132"/>
      <c r="AX481" s="132"/>
      <c r="AY481" s="132"/>
      <c r="AZ481" s="132"/>
      <c r="BA481" s="10"/>
      <c r="BB481" s="134"/>
      <c r="BC481" s="132"/>
      <c r="BD481" s="132"/>
      <c r="BE481" s="132"/>
      <c r="BF481" s="132"/>
      <c r="BG481" s="11"/>
      <c r="BH481" s="134"/>
      <c r="BI481" s="132"/>
      <c r="BJ481" s="132"/>
      <c r="BK481" s="132"/>
      <c r="BL481" s="132"/>
    </row>
    <row r="482" customFormat="false" ht="13.8" hidden="false" customHeight="false" outlineLevel="0" collapsed="false">
      <c r="A482" s="140"/>
      <c r="B482" s="140"/>
      <c r="C482" s="168"/>
      <c r="D482" s="132"/>
      <c r="E482" s="132"/>
      <c r="F482" s="132"/>
      <c r="G482" s="132"/>
      <c r="H482" s="132"/>
      <c r="I482" s="132"/>
      <c r="J482" s="132"/>
      <c r="K482" s="132"/>
      <c r="L482" s="132"/>
      <c r="M482" s="132"/>
      <c r="N482" s="140"/>
      <c r="O482" s="132"/>
      <c r="P482" s="132"/>
      <c r="Q482" s="132"/>
      <c r="R482" s="132"/>
      <c r="S482" s="132"/>
      <c r="T482" s="132"/>
      <c r="U482" s="132"/>
      <c r="V482" s="132"/>
      <c r="W482" s="132"/>
      <c r="X482" s="132"/>
      <c r="Y482" s="132"/>
      <c r="Z482" s="132"/>
      <c r="AA482" s="132"/>
      <c r="AB482" s="132"/>
      <c r="AC482" s="132"/>
      <c r="AD482" s="132"/>
      <c r="AE482" s="132"/>
      <c r="AF482" s="132"/>
      <c r="AG482" s="132"/>
      <c r="AH482" s="132"/>
      <c r="AI482" s="132"/>
      <c r="AJ482" s="132"/>
      <c r="AK482" s="132"/>
      <c r="AL482" s="132"/>
      <c r="AM482" s="132"/>
      <c r="AN482" s="132"/>
      <c r="AO482" s="132"/>
      <c r="AP482" s="132"/>
      <c r="AQ482" s="141"/>
      <c r="AR482" s="132"/>
      <c r="AS482" s="132"/>
      <c r="AT482" s="47"/>
      <c r="AU482" s="7"/>
      <c r="AV482" s="134"/>
      <c r="AW482" s="132"/>
      <c r="AX482" s="132"/>
      <c r="AY482" s="132"/>
      <c r="AZ482" s="132"/>
      <c r="BA482" s="10"/>
      <c r="BB482" s="134"/>
      <c r="BC482" s="132"/>
      <c r="BD482" s="132"/>
      <c r="BE482" s="132"/>
      <c r="BF482" s="132"/>
      <c r="BG482" s="11"/>
      <c r="BH482" s="134"/>
      <c r="BI482" s="132"/>
      <c r="BJ482" s="132"/>
      <c r="BK482" s="132"/>
      <c r="BL482" s="132"/>
    </row>
    <row r="483" customFormat="false" ht="13.8" hidden="false" customHeight="false" outlineLevel="0" collapsed="false">
      <c r="A483" s="140"/>
      <c r="B483" s="140"/>
      <c r="C483" s="168"/>
      <c r="D483" s="132"/>
      <c r="E483" s="132"/>
      <c r="F483" s="132"/>
      <c r="G483" s="132"/>
      <c r="H483" s="132"/>
      <c r="I483" s="132"/>
      <c r="J483" s="132"/>
      <c r="K483" s="132"/>
      <c r="L483" s="132"/>
      <c r="M483" s="132"/>
      <c r="N483" s="140"/>
      <c r="O483" s="132"/>
      <c r="P483" s="132"/>
      <c r="Q483" s="132"/>
      <c r="R483" s="132"/>
      <c r="S483" s="132"/>
      <c r="T483" s="132"/>
      <c r="U483" s="132"/>
      <c r="V483" s="132"/>
      <c r="W483" s="132"/>
      <c r="X483" s="132"/>
      <c r="Y483" s="132"/>
      <c r="Z483" s="132"/>
      <c r="AA483" s="132"/>
      <c r="AB483" s="132"/>
      <c r="AC483" s="132"/>
      <c r="AD483" s="132"/>
      <c r="AE483" s="132"/>
      <c r="AF483" s="132"/>
      <c r="AG483" s="132"/>
      <c r="AH483" s="132"/>
      <c r="AI483" s="132"/>
      <c r="AJ483" s="132"/>
      <c r="AK483" s="132"/>
      <c r="AL483" s="132"/>
      <c r="AM483" s="132"/>
      <c r="AN483" s="132"/>
      <c r="AO483" s="132"/>
      <c r="AP483" s="132"/>
      <c r="AQ483" s="141"/>
      <c r="AR483" s="132"/>
      <c r="AS483" s="132"/>
      <c r="AT483" s="47"/>
      <c r="AU483" s="7"/>
      <c r="AV483" s="134"/>
      <c r="AW483" s="132"/>
      <c r="AX483" s="132"/>
      <c r="AY483" s="132"/>
      <c r="AZ483" s="132"/>
      <c r="BA483" s="10"/>
      <c r="BB483" s="134"/>
      <c r="BC483" s="132"/>
      <c r="BD483" s="132"/>
      <c r="BE483" s="132"/>
      <c r="BF483" s="132"/>
      <c r="BG483" s="11"/>
      <c r="BH483" s="134"/>
      <c r="BI483" s="132"/>
      <c r="BJ483" s="132"/>
      <c r="BK483" s="132"/>
      <c r="BL483" s="132"/>
    </row>
    <row r="484" customFormat="false" ht="13.8" hidden="false" customHeight="false" outlineLevel="0" collapsed="false">
      <c r="A484" s="140"/>
      <c r="B484" s="140"/>
      <c r="C484" s="168"/>
      <c r="D484" s="132"/>
      <c r="E484" s="132"/>
      <c r="F484" s="132"/>
      <c r="G484" s="132"/>
      <c r="H484" s="132"/>
      <c r="I484" s="132"/>
      <c r="J484" s="132"/>
      <c r="K484" s="132"/>
      <c r="L484" s="132"/>
      <c r="M484" s="132"/>
      <c r="N484" s="140"/>
      <c r="O484" s="132"/>
      <c r="P484" s="132"/>
      <c r="Q484" s="132"/>
      <c r="R484" s="132"/>
      <c r="S484" s="132"/>
      <c r="T484" s="132"/>
      <c r="U484" s="132"/>
      <c r="V484" s="132"/>
      <c r="W484" s="132"/>
      <c r="X484" s="132"/>
      <c r="Y484" s="132"/>
      <c r="Z484" s="132"/>
      <c r="AA484" s="132"/>
      <c r="AB484" s="132"/>
      <c r="AC484" s="132"/>
      <c r="AD484" s="132"/>
      <c r="AE484" s="132"/>
      <c r="AF484" s="132"/>
      <c r="AG484" s="132"/>
      <c r="AH484" s="132"/>
      <c r="AI484" s="132"/>
      <c r="AJ484" s="132"/>
      <c r="AK484" s="132"/>
      <c r="AL484" s="132"/>
      <c r="AM484" s="132"/>
      <c r="AN484" s="132"/>
      <c r="AO484" s="132"/>
      <c r="AP484" s="132"/>
      <c r="AQ484" s="141"/>
      <c r="AR484" s="132"/>
      <c r="AS484" s="132"/>
      <c r="AT484" s="47"/>
      <c r="AU484" s="7"/>
      <c r="AV484" s="134"/>
      <c r="AW484" s="132"/>
      <c r="AX484" s="132"/>
      <c r="AY484" s="132"/>
      <c r="AZ484" s="132"/>
      <c r="BA484" s="10"/>
      <c r="BB484" s="134"/>
      <c r="BC484" s="132"/>
      <c r="BD484" s="132"/>
      <c r="BE484" s="132"/>
      <c r="BF484" s="132"/>
      <c r="BG484" s="11"/>
      <c r="BH484" s="134"/>
      <c r="BI484" s="132"/>
      <c r="BJ484" s="132"/>
      <c r="BK484" s="132"/>
      <c r="BL484" s="132"/>
    </row>
    <row r="485" customFormat="false" ht="13.8" hidden="false" customHeight="false" outlineLevel="0" collapsed="false">
      <c r="A485" s="140"/>
      <c r="B485" s="140"/>
      <c r="C485" s="168"/>
      <c r="D485" s="132"/>
      <c r="E485" s="132"/>
      <c r="F485" s="132"/>
      <c r="G485" s="132"/>
      <c r="H485" s="132"/>
      <c r="I485" s="132"/>
      <c r="J485" s="132"/>
      <c r="K485" s="132"/>
      <c r="L485" s="132"/>
      <c r="M485" s="132"/>
      <c r="N485" s="140"/>
      <c r="O485" s="132"/>
      <c r="P485" s="132"/>
      <c r="Q485" s="132"/>
      <c r="R485" s="132"/>
      <c r="S485" s="132"/>
      <c r="T485" s="132"/>
      <c r="U485" s="132"/>
      <c r="V485" s="132"/>
      <c r="W485" s="132"/>
      <c r="X485" s="132"/>
      <c r="Y485" s="132"/>
      <c r="Z485" s="132"/>
      <c r="AA485" s="132"/>
      <c r="AB485" s="132"/>
      <c r="AC485" s="132"/>
      <c r="AD485" s="132"/>
      <c r="AE485" s="132"/>
      <c r="AF485" s="132"/>
      <c r="AG485" s="132"/>
      <c r="AH485" s="132"/>
      <c r="AI485" s="132"/>
      <c r="AJ485" s="132"/>
      <c r="AK485" s="132"/>
      <c r="AL485" s="132"/>
      <c r="AM485" s="132"/>
      <c r="AN485" s="132"/>
      <c r="AO485" s="132"/>
      <c r="AP485" s="132"/>
      <c r="AQ485" s="141"/>
      <c r="AR485" s="132"/>
      <c r="AS485" s="132"/>
      <c r="AT485" s="47"/>
      <c r="AU485" s="7"/>
      <c r="AV485" s="134"/>
      <c r="AW485" s="132"/>
      <c r="AX485" s="132"/>
      <c r="AY485" s="132"/>
      <c r="AZ485" s="132"/>
      <c r="BA485" s="10"/>
      <c r="BB485" s="134"/>
      <c r="BC485" s="132"/>
      <c r="BD485" s="132"/>
      <c r="BE485" s="132"/>
      <c r="BF485" s="132"/>
      <c r="BG485" s="11"/>
      <c r="BH485" s="134"/>
      <c r="BI485" s="132"/>
      <c r="BJ485" s="132"/>
      <c r="BK485" s="132"/>
      <c r="BL485" s="132"/>
    </row>
    <row r="486" customFormat="false" ht="13.8" hidden="false" customHeight="false" outlineLevel="0" collapsed="false">
      <c r="A486" s="140"/>
      <c r="B486" s="140"/>
      <c r="C486" s="168"/>
      <c r="D486" s="132"/>
      <c r="E486" s="132"/>
      <c r="F486" s="132"/>
      <c r="G486" s="132"/>
      <c r="H486" s="132"/>
      <c r="I486" s="132"/>
      <c r="J486" s="132"/>
      <c r="K486" s="132"/>
      <c r="L486" s="132"/>
      <c r="M486" s="132"/>
      <c r="N486" s="140"/>
      <c r="O486" s="132"/>
      <c r="P486" s="132"/>
      <c r="Q486" s="132"/>
      <c r="R486" s="132"/>
      <c r="S486" s="132"/>
      <c r="T486" s="132"/>
      <c r="U486" s="132"/>
      <c r="V486" s="132"/>
      <c r="W486" s="132"/>
      <c r="X486" s="132"/>
      <c r="Y486" s="132"/>
      <c r="Z486" s="132"/>
      <c r="AA486" s="132"/>
      <c r="AB486" s="132"/>
      <c r="AC486" s="132"/>
      <c r="AD486" s="132"/>
      <c r="AE486" s="132"/>
      <c r="AF486" s="132"/>
      <c r="AG486" s="132"/>
      <c r="AH486" s="132"/>
      <c r="AI486" s="132"/>
      <c r="AJ486" s="132"/>
      <c r="AK486" s="132"/>
      <c r="AL486" s="132"/>
      <c r="AM486" s="132"/>
      <c r="AN486" s="132"/>
      <c r="AO486" s="132"/>
      <c r="AP486" s="132"/>
      <c r="AQ486" s="141"/>
      <c r="AR486" s="132"/>
      <c r="AS486" s="132"/>
      <c r="AT486" s="47"/>
      <c r="AU486" s="7"/>
      <c r="AV486" s="134"/>
      <c r="AW486" s="132"/>
      <c r="AX486" s="132"/>
      <c r="AY486" s="132"/>
      <c r="AZ486" s="132"/>
      <c r="BA486" s="10"/>
      <c r="BB486" s="134"/>
      <c r="BC486" s="132"/>
      <c r="BD486" s="132"/>
      <c r="BE486" s="132"/>
      <c r="BF486" s="132"/>
      <c r="BG486" s="11"/>
      <c r="BH486" s="134"/>
      <c r="BI486" s="132"/>
      <c r="BJ486" s="132"/>
      <c r="BK486" s="132"/>
      <c r="BL486" s="132"/>
    </row>
    <row r="487" customFormat="false" ht="13.8" hidden="false" customHeight="false" outlineLevel="0" collapsed="false">
      <c r="A487" s="140"/>
      <c r="B487" s="140"/>
      <c r="C487" s="168"/>
      <c r="D487" s="132"/>
      <c r="E487" s="132"/>
      <c r="F487" s="132"/>
      <c r="G487" s="132"/>
      <c r="H487" s="132"/>
      <c r="I487" s="132"/>
      <c r="J487" s="132"/>
      <c r="K487" s="132"/>
      <c r="L487" s="132"/>
      <c r="M487" s="132"/>
      <c r="N487" s="140"/>
      <c r="O487" s="132"/>
      <c r="P487" s="132"/>
      <c r="Q487" s="132"/>
      <c r="R487" s="132"/>
      <c r="S487" s="132"/>
      <c r="T487" s="132"/>
      <c r="U487" s="132"/>
      <c r="V487" s="132"/>
      <c r="W487" s="132"/>
      <c r="X487" s="132"/>
      <c r="Y487" s="132"/>
      <c r="Z487" s="132"/>
      <c r="AA487" s="132"/>
      <c r="AB487" s="132"/>
      <c r="AC487" s="132"/>
      <c r="AD487" s="132"/>
      <c r="AE487" s="132"/>
      <c r="AF487" s="132"/>
      <c r="AG487" s="132"/>
      <c r="AH487" s="132"/>
      <c r="AI487" s="132"/>
      <c r="AJ487" s="132"/>
      <c r="AK487" s="132"/>
      <c r="AL487" s="132"/>
      <c r="AM487" s="132"/>
      <c r="AN487" s="132"/>
      <c r="AO487" s="132"/>
      <c r="AP487" s="132"/>
      <c r="AQ487" s="141"/>
      <c r="AR487" s="132"/>
      <c r="AS487" s="132"/>
      <c r="AT487" s="47"/>
      <c r="AU487" s="7"/>
      <c r="AV487" s="134"/>
      <c r="AW487" s="132"/>
      <c r="AX487" s="132"/>
      <c r="AY487" s="132"/>
      <c r="AZ487" s="132"/>
      <c r="BA487" s="10"/>
      <c r="BB487" s="134"/>
      <c r="BC487" s="132"/>
      <c r="BD487" s="132"/>
      <c r="BE487" s="132"/>
      <c r="BF487" s="132"/>
      <c r="BG487" s="11"/>
      <c r="BH487" s="134"/>
      <c r="BI487" s="132"/>
      <c r="BJ487" s="132"/>
      <c r="BK487" s="132"/>
      <c r="BL487" s="132"/>
    </row>
    <row r="488" customFormat="false" ht="13.8" hidden="false" customHeight="false" outlineLevel="0" collapsed="false">
      <c r="A488" s="140"/>
      <c r="B488" s="140"/>
      <c r="C488" s="168"/>
      <c r="D488" s="132"/>
      <c r="E488" s="132"/>
      <c r="F488" s="132"/>
      <c r="G488" s="132"/>
      <c r="H488" s="132"/>
      <c r="I488" s="132"/>
      <c r="J488" s="132"/>
      <c r="K488" s="132"/>
      <c r="L488" s="132"/>
      <c r="M488" s="132"/>
      <c r="N488" s="140"/>
      <c r="O488" s="132"/>
      <c r="P488" s="132"/>
      <c r="Q488" s="132"/>
      <c r="R488" s="132"/>
      <c r="S488" s="132"/>
      <c r="T488" s="132"/>
      <c r="U488" s="132"/>
      <c r="V488" s="132"/>
      <c r="W488" s="132"/>
      <c r="X488" s="132"/>
      <c r="Y488" s="132"/>
      <c r="Z488" s="132"/>
      <c r="AA488" s="132"/>
      <c r="AB488" s="132"/>
      <c r="AC488" s="132"/>
      <c r="AD488" s="132"/>
      <c r="AE488" s="132"/>
      <c r="AF488" s="132"/>
      <c r="AG488" s="132"/>
      <c r="AH488" s="132"/>
      <c r="AI488" s="132"/>
      <c r="AJ488" s="132"/>
      <c r="AK488" s="132"/>
      <c r="AL488" s="132"/>
      <c r="AM488" s="132"/>
      <c r="AN488" s="132"/>
      <c r="AO488" s="132"/>
      <c r="AP488" s="132"/>
      <c r="AQ488" s="141"/>
      <c r="AR488" s="132"/>
      <c r="AS488" s="132"/>
      <c r="AT488" s="47"/>
      <c r="AU488" s="7"/>
      <c r="AV488" s="134"/>
      <c r="AW488" s="132"/>
      <c r="AX488" s="132"/>
      <c r="AY488" s="132"/>
      <c r="AZ488" s="132"/>
      <c r="BA488" s="10"/>
      <c r="BB488" s="134"/>
      <c r="BC488" s="132"/>
      <c r="BD488" s="132"/>
      <c r="BE488" s="132"/>
      <c r="BF488" s="132"/>
      <c r="BG488" s="11"/>
      <c r="BH488" s="134"/>
      <c r="BI488" s="132"/>
      <c r="BJ488" s="132"/>
      <c r="BK488" s="132"/>
      <c r="BL488" s="132"/>
    </row>
    <row r="489" customFormat="false" ht="13.8" hidden="false" customHeight="false" outlineLevel="0" collapsed="false">
      <c r="A489" s="140"/>
      <c r="B489" s="140"/>
      <c r="C489" s="168"/>
      <c r="D489" s="132"/>
      <c r="E489" s="132"/>
      <c r="F489" s="132"/>
      <c r="G489" s="132"/>
      <c r="H489" s="132"/>
      <c r="I489" s="132"/>
      <c r="J489" s="132"/>
      <c r="K489" s="132"/>
      <c r="L489" s="132"/>
      <c r="M489" s="132"/>
      <c r="N489" s="140"/>
      <c r="O489" s="132"/>
      <c r="P489" s="132"/>
      <c r="Q489" s="132"/>
      <c r="R489" s="132"/>
      <c r="S489" s="132"/>
      <c r="T489" s="132"/>
      <c r="U489" s="132"/>
      <c r="V489" s="132"/>
      <c r="W489" s="132"/>
      <c r="X489" s="132"/>
      <c r="Y489" s="132"/>
      <c r="Z489" s="132"/>
      <c r="AA489" s="132"/>
      <c r="AB489" s="132"/>
      <c r="AC489" s="132"/>
      <c r="AD489" s="132"/>
      <c r="AE489" s="132"/>
      <c r="AF489" s="132"/>
      <c r="AG489" s="132"/>
      <c r="AH489" s="132"/>
      <c r="AI489" s="132"/>
      <c r="AJ489" s="132"/>
      <c r="AK489" s="132"/>
      <c r="AL489" s="132"/>
      <c r="AM489" s="132"/>
      <c r="AN489" s="132"/>
      <c r="AO489" s="132"/>
      <c r="AP489" s="132"/>
      <c r="AQ489" s="141"/>
      <c r="AR489" s="132"/>
      <c r="AS489" s="132"/>
      <c r="AT489" s="47"/>
      <c r="AU489" s="7"/>
      <c r="AV489" s="134"/>
      <c r="AW489" s="132"/>
      <c r="AX489" s="132"/>
      <c r="AY489" s="132"/>
      <c r="AZ489" s="132"/>
      <c r="BA489" s="10"/>
      <c r="BB489" s="134"/>
      <c r="BC489" s="132"/>
      <c r="BD489" s="132"/>
      <c r="BE489" s="132"/>
      <c r="BF489" s="132"/>
      <c r="BG489" s="11"/>
      <c r="BH489" s="134"/>
      <c r="BI489" s="132"/>
      <c r="BJ489" s="132"/>
      <c r="BK489" s="132"/>
      <c r="BL489" s="132"/>
    </row>
    <row r="490" customFormat="false" ht="13.8" hidden="false" customHeight="false" outlineLevel="0" collapsed="false">
      <c r="A490" s="140"/>
      <c r="B490" s="140"/>
      <c r="C490" s="168"/>
      <c r="D490" s="132"/>
      <c r="E490" s="132"/>
      <c r="F490" s="132"/>
      <c r="G490" s="132"/>
      <c r="H490" s="132"/>
      <c r="I490" s="132"/>
      <c r="J490" s="132"/>
      <c r="K490" s="132"/>
      <c r="L490" s="132"/>
      <c r="M490" s="132"/>
      <c r="N490" s="140"/>
      <c r="O490" s="132"/>
      <c r="P490" s="132"/>
      <c r="Q490" s="132"/>
      <c r="R490" s="132"/>
      <c r="S490" s="132"/>
      <c r="T490" s="132"/>
      <c r="U490" s="132"/>
      <c r="V490" s="132"/>
      <c r="W490" s="132"/>
      <c r="X490" s="132"/>
      <c r="Y490" s="132"/>
      <c r="Z490" s="132"/>
      <c r="AA490" s="132"/>
      <c r="AB490" s="132"/>
      <c r="AC490" s="132"/>
      <c r="AD490" s="132"/>
      <c r="AE490" s="132"/>
      <c r="AF490" s="132"/>
      <c r="AG490" s="132"/>
      <c r="AH490" s="132"/>
      <c r="AI490" s="132"/>
      <c r="AJ490" s="132"/>
      <c r="AK490" s="132"/>
      <c r="AL490" s="132"/>
      <c r="AM490" s="132"/>
      <c r="AN490" s="132"/>
      <c r="AO490" s="132"/>
      <c r="AP490" s="132"/>
      <c r="AQ490" s="141"/>
      <c r="AR490" s="132"/>
      <c r="AS490" s="132"/>
      <c r="AT490" s="47"/>
      <c r="AU490" s="7"/>
      <c r="AV490" s="134"/>
      <c r="AW490" s="132"/>
      <c r="AX490" s="132"/>
      <c r="AY490" s="132"/>
      <c r="AZ490" s="132"/>
      <c r="BA490" s="10"/>
      <c r="BB490" s="134"/>
      <c r="BC490" s="132"/>
      <c r="BD490" s="132"/>
      <c r="BE490" s="132"/>
      <c r="BF490" s="132"/>
      <c r="BG490" s="11"/>
      <c r="BH490" s="134"/>
      <c r="BI490" s="132"/>
      <c r="BJ490" s="132"/>
      <c r="BK490" s="132"/>
      <c r="BL490" s="132"/>
    </row>
    <row r="491" customFormat="false" ht="13.8" hidden="false" customHeight="false" outlineLevel="0" collapsed="false">
      <c r="A491" s="140"/>
      <c r="B491" s="140"/>
      <c r="C491" s="168"/>
      <c r="D491" s="132"/>
      <c r="E491" s="132"/>
      <c r="F491" s="132"/>
      <c r="G491" s="132"/>
      <c r="H491" s="132"/>
      <c r="I491" s="132"/>
      <c r="J491" s="132"/>
      <c r="K491" s="132"/>
      <c r="L491" s="132"/>
      <c r="M491" s="132"/>
      <c r="N491" s="140"/>
      <c r="O491" s="132"/>
      <c r="P491" s="132"/>
      <c r="Q491" s="132"/>
      <c r="R491" s="132"/>
      <c r="S491" s="132"/>
      <c r="T491" s="132"/>
      <c r="U491" s="132"/>
      <c r="V491" s="132"/>
      <c r="W491" s="132"/>
      <c r="X491" s="132"/>
      <c r="Y491" s="132"/>
      <c r="Z491" s="132"/>
      <c r="AA491" s="132"/>
      <c r="AB491" s="132"/>
      <c r="AC491" s="132"/>
      <c r="AD491" s="132"/>
      <c r="AE491" s="132"/>
      <c r="AF491" s="132"/>
      <c r="AG491" s="132"/>
      <c r="AH491" s="132"/>
      <c r="AI491" s="132"/>
      <c r="AJ491" s="132"/>
      <c r="AK491" s="132"/>
      <c r="AL491" s="132"/>
      <c r="AM491" s="132"/>
      <c r="AN491" s="132"/>
      <c r="AO491" s="132"/>
      <c r="AP491" s="132"/>
      <c r="AQ491" s="141"/>
      <c r="AR491" s="132"/>
      <c r="AS491" s="132"/>
      <c r="AT491" s="47"/>
      <c r="AU491" s="7"/>
      <c r="AV491" s="134"/>
      <c r="AW491" s="132"/>
      <c r="AX491" s="132"/>
      <c r="AY491" s="132"/>
      <c r="AZ491" s="132"/>
      <c r="BA491" s="10"/>
      <c r="BB491" s="134"/>
      <c r="BC491" s="132"/>
      <c r="BD491" s="132"/>
      <c r="BE491" s="132"/>
      <c r="BF491" s="132"/>
      <c r="BG491" s="11"/>
      <c r="BH491" s="134"/>
      <c r="BI491" s="132"/>
      <c r="BJ491" s="132"/>
      <c r="BK491" s="132"/>
      <c r="BL491" s="132"/>
    </row>
    <row r="492" customFormat="false" ht="13.8" hidden="false" customHeight="false" outlineLevel="0" collapsed="false">
      <c r="A492" s="140"/>
      <c r="B492" s="140"/>
      <c r="C492" s="168"/>
      <c r="D492" s="132"/>
      <c r="E492" s="132"/>
      <c r="F492" s="132"/>
      <c r="G492" s="132"/>
      <c r="H492" s="132"/>
      <c r="I492" s="132"/>
      <c r="J492" s="132"/>
      <c r="K492" s="132"/>
      <c r="L492" s="132"/>
      <c r="M492" s="132"/>
      <c r="N492" s="140"/>
      <c r="O492" s="132"/>
      <c r="P492" s="132"/>
      <c r="Q492" s="132"/>
      <c r="R492" s="132"/>
      <c r="S492" s="132"/>
      <c r="T492" s="132"/>
      <c r="U492" s="132"/>
      <c r="V492" s="132"/>
      <c r="W492" s="132"/>
      <c r="X492" s="132"/>
      <c r="Y492" s="132"/>
      <c r="Z492" s="132"/>
      <c r="AA492" s="132"/>
      <c r="AB492" s="132"/>
      <c r="AC492" s="132"/>
      <c r="AD492" s="132"/>
      <c r="AE492" s="132"/>
      <c r="AF492" s="132"/>
      <c r="AG492" s="132"/>
      <c r="AH492" s="132"/>
      <c r="AI492" s="132"/>
      <c r="AJ492" s="132"/>
      <c r="AK492" s="132"/>
      <c r="AL492" s="132"/>
      <c r="AM492" s="132"/>
      <c r="AN492" s="132"/>
      <c r="AO492" s="132"/>
      <c r="AP492" s="132"/>
      <c r="AQ492" s="141"/>
      <c r="AR492" s="132"/>
      <c r="AS492" s="132"/>
      <c r="AT492" s="47"/>
      <c r="AU492" s="7"/>
      <c r="AV492" s="134"/>
      <c r="AW492" s="132"/>
      <c r="AX492" s="132"/>
      <c r="AY492" s="132"/>
      <c r="AZ492" s="132"/>
      <c r="BA492" s="10"/>
      <c r="BB492" s="134"/>
      <c r="BC492" s="132"/>
      <c r="BD492" s="132"/>
      <c r="BE492" s="132"/>
      <c r="BF492" s="132"/>
      <c r="BG492" s="11"/>
      <c r="BH492" s="134"/>
      <c r="BI492" s="132"/>
      <c r="BJ492" s="132"/>
      <c r="BK492" s="132"/>
      <c r="BL492" s="132"/>
    </row>
    <row r="493" customFormat="false" ht="13.8" hidden="false" customHeight="false" outlineLevel="0" collapsed="false">
      <c r="A493" s="140"/>
      <c r="B493" s="140"/>
      <c r="C493" s="168"/>
      <c r="D493" s="132"/>
      <c r="E493" s="132"/>
      <c r="F493" s="132"/>
      <c r="G493" s="132"/>
      <c r="H493" s="132"/>
      <c r="I493" s="132"/>
      <c r="J493" s="132"/>
      <c r="K493" s="132"/>
      <c r="L493" s="132"/>
      <c r="M493" s="132"/>
      <c r="N493" s="140"/>
      <c r="O493" s="132"/>
      <c r="P493" s="132"/>
      <c r="Q493" s="132"/>
      <c r="R493" s="132"/>
      <c r="S493" s="132"/>
      <c r="T493" s="132"/>
      <c r="U493" s="132"/>
      <c r="V493" s="132"/>
      <c r="W493" s="132"/>
      <c r="X493" s="132"/>
      <c r="Y493" s="132"/>
      <c r="Z493" s="132"/>
      <c r="AA493" s="132"/>
      <c r="AB493" s="132"/>
      <c r="AC493" s="132"/>
      <c r="AD493" s="132"/>
      <c r="AE493" s="132"/>
      <c r="AF493" s="132"/>
      <c r="AG493" s="132"/>
      <c r="AH493" s="132"/>
      <c r="AI493" s="132"/>
      <c r="AJ493" s="132"/>
      <c r="AK493" s="132"/>
      <c r="AL493" s="132"/>
      <c r="AM493" s="132"/>
      <c r="AN493" s="132"/>
      <c r="AO493" s="132"/>
      <c r="AP493" s="132"/>
      <c r="AQ493" s="141"/>
      <c r="AR493" s="132"/>
      <c r="AS493" s="132"/>
      <c r="AT493" s="47"/>
      <c r="AU493" s="7"/>
      <c r="AV493" s="134"/>
      <c r="AW493" s="132"/>
      <c r="AX493" s="132"/>
      <c r="AY493" s="132"/>
      <c r="AZ493" s="132"/>
      <c r="BA493" s="10"/>
      <c r="BB493" s="134"/>
      <c r="BC493" s="132"/>
      <c r="BD493" s="132"/>
      <c r="BE493" s="132"/>
      <c r="BF493" s="132"/>
      <c r="BG493" s="11"/>
      <c r="BH493" s="134"/>
      <c r="BI493" s="132"/>
      <c r="BJ493" s="132"/>
      <c r="BK493" s="132"/>
      <c r="BL493" s="132"/>
    </row>
    <row r="494" customFormat="false" ht="13.8" hidden="false" customHeight="false" outlineLevel="0" collapsed="false">
      <c r="A494" s="140"/>
      <c r="B494" s="140"/>
      <c r="C494" s="168"/>
      <c r="D494" s="132"/>
      <c r="E494" s="132"/>
      <c r="F494" s="132"/>
      <c r="G494" s="132"/>
      <c r="H494" s="132"/>
      <c r="I494" s="132"/>
      <c r="J494" s="132"/>
      <c r="K494" s="132"/>
      <c r="L494" s="132"/>
      <c r="M494" s="132"/>
      <c r="N494" s="140"/>
      <c r="O494" s="132"/>
      <c r="P494" s="132"/>
      <c r="Q494" s="132"/>
      <c r="R494" s="132"/>
      <c r="S494" s="132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/>
      <c r="AF494" s="132"/>
      <c r="AG494" s="132"/>
      <c r="AH494" s="132"/>
      <c r="AI494" s="132"/>
      <c r="AJ494" s="132"/>
      <c r="AK494" s="132"/>
      <c r="AL494" s="132"/>
      <c r="AM494" s="132"/>
      <c r="AN494" s="132"/>
      <c r="AO494" s="132"/>
      <c r="AP494" s="132"/>
      <c r="AQ494" s="141"/>
      <c r="AR494" s="132"/>
      <c r="AS494" s="132"/>
      <c r="AT494" s="47"/>
      <c r="AU494" s="7"/>
      <c r="AV494" s="134"/>
      <c r="AW494" s="132"/>
      <c r="AX494" s="132"/>
      <c r="AY494" s="132"/>
      <c r="AZ494" s="132"/>
      <c r="BA494" s="10"/>
      <c r="BB494" s="134"/>
      <c r="BC494" s="132"/>
      <c r="BD494" s="132"/>
      <c r="BE494" s="132"/>
      <c r="BF494" s="132"/>
      <c r="BG494" s="11"/>
      <c r="BH494" s="134"/>
      <c r="BI494" s="132"/>
      <c r="BJ494" s="132"/>
      <c r="BK494" s="132"/>
      <c r="BL494" s="132"/>
    </row>
    <row r="495" customFormat="false" ht="13.8" hidden="false" customHeight="false" outlineLevel="0" collapsed="false">
      <c r="A495" s="140"/>
      <c r="B495" s="140"/>
      <c r="C495" s="168"/>
      <c r="D495" s="132"/>
      <c r="E495" s="132"/>
      <c r="F495" s="132"/>
      <c r="G495" s="132"/>
      <c r="H495" s="132"/>
      <c r="I495" s="132"/>
      <c r="J495" s="132"/>
      <c r="K495" s="132"/>
      <c r="L495" s="132"/>
      <c r="M495" s="132"/>
      <c r="N495" s="140"/>
      <c r="O495" s="132"/>
      <c r="P495" s="132"/>
      <c r="Q495" s="132"/>
      <c r="R495" s="132"/>
      <c r="S495" s="132"/>
      <c r="T495" s="132"/>
      <c r="U495" s="132"/>
      <c r="V495" s="132"/>
      <c r="W495" s="132"/>
      <c r="X495" s="132"/>
      <c r="Y495" s="132"/>
      <c r="Z495" s="132"/>
      <c r="AA495" s="132"/>
      <c r="AB495" s="132"/>
      <c r="AC495" s="132"/>
      <c r="AD495" s="132"/>
      <c r="AE495" s="132"/>
      <c r="AF495" s="132"/>
      <c r="AG495" s="132"/>
      <c r="AH495" s="132"/>
      <c r="AI495" s="132"/>
      <c r="AJ495" s="132"/>
      <c r="AK495" s="132"/>
      <c r="AL495" s="132"/>
      <c r="AM495" s="132"/>
      <c r="AN495" s="132"/>
      <c r="AO495" s="132"/>
      <c r="AP495" s="132"/>
      <c r="AQ495" s="141"/>
      <c r="AR495" s="132"/>
      <c r="AS495" s="132"/>
      <c r="AT495" s="47"/>
      <c r="AU495" s="7"/>
      <c r="AV495" s="134"/>
      <c r="AW495" s="132"/>
      <c r="AX495" s="132"/>
      <c r="AY495" s="132"/>
      <c r="AZ495" s="132"/>
      <c r="BA495" s="10"/>
      <c r="BB495" s="134"/>
      <c r="BC495" s="132"/>
      <c r="BD495" s="132"/>
      <c r="BE495" s="132"/>
      <c r="BF495" s="132"/>
      <c r="BG495" s="11"/>
      <c r="BH495" s="134"/>
      <c r="BI495" s="132"/>
      <c r="BJ495" s="132"/>
      <c r="BK495" s="132"/>
      <c r="BL495" s="132"/>
    </row>
    <row r="496" customFormat="false" ht="13.8" hidden="false" customHeight="false" outlineLevel="0" collapsed="false">
      <c r="A496" s="140"/>
      <c r="B496" s="140"/>
      <c r="C496" s="168"/>
      <c r="D496" s="132"/>
      <c r="E496" s="132"/>
      <c r="F496" s="132"/>
      <c r="G496" s="132"/>
      <c r="H496" s="132"/>
      <c r="I496" s="132"/>
      <c r="J496" s="132"/>
      <c r="K496" s="132"/>
      <c r="L496" s="132"/>
      <c r="M496" s="132"/>
      <c r="N496" s="140"/>
      <c r="O496" s="132"/>
      <c r="P496" s="132"/>
      <c r="Q496" s="132"/>
      <c r="R496" s="132"/>
      <c r="S496" s="132"/>
      <c r="T496" s="132"/>
      <c r="U496" s="132"/>
      <c r="V496" s="132"/>
      <c r="W496" s="132"/>
      <c r="X496" s="132"/>
      <c r="Y496" s="132"/>
      <c r="Z496" s="132"/>
      <c r="AA496" s="132"/>
      <c r="AB496" s="132"/>
      <c r="AC496" s="132"/>
      <c r="AD496" s="132"/>
      <c r="AE496" s="132"/>
      <c r="AF496" s="132"/>
      <c r="AG496" s="132"/>
      <c r="AH496" s="132"/>
      <c r="AI496" s="132"/>
      <c r="AJ496" s="132"/>
      <c r="AK496" s="132"/>
      <c r="AL496" s="132"/>
      <c r="AM496" s="132"/>
      <c r="AN496" s="132"/>
      <c r="AO496" s="132"/>
      <c r="AP496" s="132"/>
      <c r="AQ496" s="141"/>
      <c r="AR496" s="132"/>
      <c r="AS496" s="132"/>
      <c r="AT496" s="47"/>
      <c r="AU496" s="7"/>
      <c r="AV496" s="134"/>
      <c r="AW496" s="132"/>
      <c r="AX496" s="132"/>
      <c r="AY496" s="132"/>
      <c r="AZ496" s="132"/>
      <c r="BA496" s="10"/>
      <c r="BB496" s="134"/>
      <c r="BC496" s="132"/>
      <c r="BD496" s="132"/>
      <c r="BE496" s="132"/>
      <c r="BF496" s="132"/>
      <c r="BG496" s="11"/>
      <c r="BH496" s="134"/>
      <c r="BI496" s="132"/>
      <c r="BJ496" s="132"/>
      <c r="BK496" s="132"/>
      <c r="BL496" s="132"/>
    </row>
    <row r="497" customFormat="false" ht="13.8" hidden="false" customHeight="false" outlineLevel="0" collapsed="false">
      <c r="A497" s="140"/>
      <c r="B497" s="140"/>
      <c r="C497" s="168"/>
      <c r="D497" s="132"/>
      <c r="E497" s="132"/>
      <c r="F497" s="132"/>
      <c r="G497" s="132"/>
      <c r="H497" s="132"/>
      <c r="I497" s="132"/>
      <c r="J497" s="132"/>
      <c r="K497" s="132"/>
      <c r="L497" s="132"/>
      <c r="M497" s="132"/>
      <c r="N497" s="140"/>
      <c r="O497" s="132"/>
      <c r="P497" s="132"/>
      <c r="Q497" s="132"/>
      <c r="R497" s="132"/>
      <c r="S497" s="132"/>
      <c r="T497" s="132"/>
      <c r="U497" s="132"/>
      <c r="V497" s="132"/>
      <c r="W497" s="132"/>
      <c r="X497" s="132"/>
      <c r="Y497" s="132"/>
      <c r="Z497" s="132"/>
      <c r="AA497" s="132"/>
      <c r="AB497" s="132"/>
      <c r="AC497" s="132"/>
      <c r="AD497" s="132"/>
      <c r="AE497" s="132"/>
      <c r="AF497" s="132"/>
      <c r="AG497" s="132"/>
      <c r="AH497" s="132"/>
      <c r="AI497" s="132"/>
      <c r="AJ497" s="132"/>
      <c r="AK497" s="132"/>
      <c r="AL497" s="132"/>
      <c r="AM497" s="132"/>
      <c r="AN497" s="132"/>
      <c r="AO497" s="132"/>
      <c r="AP497" s="132"/>
      <c r="AQ497" s="141"/>
      <c r="AR497" s="132"/>
      <c r="AS497" s="132"/>
      <c r="AT497" s="47"/>
      <c r="AU497" s="7"/>
      <c r="AV497" s="134"/>
      <c r="AW497" s="132"/>
      <c r="AX497" s="132"/>
      <c r="AY497" s="132"/>
      <c r="AZ497" s="132"/>
      <c r="BA497" s="10"/>
      <c r="BB497" s="134"/>
      <c r="BC497" s="132"/>
      <c r="BD497" s="132"/>
      <c r="BE497" s="132"/>
      <c r="BF497" s="132"/>
      <c r="BG497" s="11"/>
      <c r="BH497" s="134"/>
      <c r="BI497" s="132"/>
      <c r="BJ497" s="132"/>
      <c r="BK497" s="132"/>
      <c r="BL497" s="132"/>
    </row>
    <row r="498" customFormat="false" ht="13.8" hidden="false" customHeight="false" outlineLevel="0" collapsed="false">
      <c r="A498" s="140"/>
      <c r="B498" s="140"/>
      <c r="C498" s="168"/>
      <c r="D498" s="132"/>
      <c r="E498" s="132"/>
      <c r="F498" s="132"/>
      <c r="G498" s="132"/>
      <c r="H498" s="132"/>
      <c r="I498" s="132"/>
      <c r="J498" s="132"/>
      <c r="K498" s="132"/>
      <c r="L498" s="132"/>
      <c r="M498" s="132"/>
      <c r="N498" s="140"/>
      <c r="O498" s="132"/>
      <c r="P498" s="132"/>
      <c r="Q498" s="132"/>
      <c r="R498" s="132"/>
      <c r="S498" s="132"/>
      <c r="T498" s="132"/>
      <c r="U498" s="132"/>
      <c r="V498" s="132"/>
      <c r="W498" s="132"/>
      <c r="X498" s="132"/>
      <c r="Y498" s="132"/>
      <c r="Z498" s="132"/>
      <c r="AA498" s="132"/>
      <c r="AB498" s="132"/>
      <c r="AC498" s="132"/>
      <c r="AD498" s="132"/>
      <c r="AE498" s="132"/>
      <c r="AF498" s="132"/>
      <c r="AG498" s="132"/>
      <c r="AH498" s="132"/>
      <c r="AI498" s="132"/>
      <c r="AJ498" s="132"/>
      <c r="AK498" s="132"/>
      <c r="AL498" s="132"/>
      <c r="AM498" s="132"/>
      <c r="AN498" s="132"/>
      <c r="AO498" s="132"/>
      <c r="AP498" s="132"/>
      <c r="AQ498" s="141"/>
      <c r="AR498" s="132"/>
      <c r="AS498" s="132"/>
      <c r="AT498" s="47"/>
      <c r="AU498" s="7"/>
      <c r="AV498" s="134"/>
      <c r="AW498" s="132"/>
      <c r="AX498" s="132"/>
      <c r="AY498" s="132"/>
      <c r="AZ498" s="132"/>
      <c r="BA498" s="10"/>
      <c r="BB498" s="134"/>
      <c r="BC498" s="132"/>
      <c r="BD498" s="132"/>
      <c r="BE498" s="132"/>
      <c r="BF498" s="132"/>
      <c r="BG498" s="11"/>
      <c r="BH498" s="134"/>
      <c r="BI498" s="132"/>
      <c r="BJ498" s="132"/>
      <c r="BK498" s="132"/>
      <c r="BL498" s="132"/>
    </row>
    <row r="499" customFormat="false" ht="13.8" hidden="false" customHeight="false" outlineLevel="0" collapsed="false">
      <c r="A499" s="140"/>
      <c r="B499" s="140"/>
      <c r="C499" s="168"/>
      <c r="D499" s="132"/>
      <c r="E499" s="132"/>
      <c r="F499" s="132"/>
      <c r="G499" s="132"/>
      <c r="H499" s="132"/>
      <c r="I499" s="132"/>
      <c r="J499" s="132"/>
      <c r="K499" s="132"/>
      <c r="L499" s="132"/>
      <c r="M499" s="132"/>
      <c r="N499" s="140"/>
      <c r="O499" s="132"/>
      <c r="P499" s="132"/>
      <c r="Q499" s="132"/>
      <c r="R499" s="132"/>
      <c r="S499" s="132"/>
      <c r="T499" s="132"/>
      <c r="U499" s="132"/>
      <c r="V499" s="132"/>
      <c r="W499" s="132"/>
      <c r="X499" s="132"/>
      <c r="Y499" s="132"/>
      <c r="Z499" s="132"/>
      <c r="AA499" s="132"/>
      <c r="AB499" s="132"/>
      <c r="AC499" s="132"/>
      <c r="AD499" s="132"/>
      <c r="AE499" s="132"/>
      <c r="AF499" s="132"/>
      <c r="AG499" s="132"/>
      <c r="AH499" s="132"/>
      <c r="AI499" s="132"/>
      <c r="AJ499" s="132"/>
      <c r="AK499" s="132"/>
      <c r="AL499" s="132"/>
      <c r="AM499" s="132"/>
      <c r="AN499" s="132"/>
      <c r="AO499" s="132"/>
      <c r="AP499" s="132"/>
      <c r="AQ499" s="141"/>
      <c r="AR499" s="132"/>
      <c r="AS499" s="132"/>
      <c r="AT499" s="47"/>
      <c r="AU499" s="7"/>
      <c r="AV499" s="134"/>
      <c r="AW499" s="132"/>
      <c r="AX499" s="132"/>
      <c r="AY499" s="132"/>
      <c r="AZ499" s="132"/>
      <c r="BA499" s="10"/>
      <c r="BB499" s="134"/>
      <c r="BC499" s="132"/>
      <c r="BD499" s="132"/>
      <c r="BE499" s="132"/>
      <c r="BF499" s="132"/>
      <c r="BG499" s="11"/>
      <c r="BH499" s="134"/>
      <c r="BI499" s="132"/>
      <c r="BJ499" s="132"/>
      <c r="BK499" s="132"/>
      <c r="BL499" s="132"/>
    </row>
    <row r="500" customFormat="false" ht="13.8" hidden="false" customHeight="false" outlineLevel="0" collapsed="false">
      <c r="A500" s="140"/>
      <c r="B500" s="140"/>
      <c r="C500" s="168"/>
      <c r="D500" s="132"/>
      <c r="E500" s="132"/>
      <c r="F500" s="132"/>
      <c r="G500" s="132"/>
      <c r="H500" s="132"/>
      <c r="I500" s="132"/>
      <c r="J500" s="132"/>
      <c r="K500" s="132"/>
      <c r="L500" s="132"/>
      <c r="M500" s="132"/>
      <c r="N500" s="140"/>
      <c r="O500" s="132"/>
      <c r="P500" s="132"/>
      <c r="Q500" s="132"/>
      <c r="R500" s="132"/>
      <c r="S500" s="132"/>
      <c r="T500" s="132"/>
      <c r="U500" s="132"/>
      <c r="V500" s="132"/>
      <c r="W500" s="132"/>
      <c r="X500" s="132"/>
      <c r="Y500" s="132"/>
      <c r="Z500" s="132"/>
      <c r="AA500" s="132"/>
      <c r="AB500" s="132"/>
      <c r="AC500" s="132"/>
      <c r="AD500" s="132"/>
      <c r="AE500" s="132"/>
      <c r="AF500" s="132"/>
      <c r="AG500" s="132"/>
      <c r="AH500" s="132"/>
      <c r="AI500" s="132"/>
      <c r="AJ500" s="132"/>
      <c r="AK500" s="132"/>
      <c r="AL500" s="132"/>
      <c r="AM500" s="132"/>
      <c r="AN500" s="132"/>
      <c r="AO500" s="132"/>
      <c r="AP500" s="132"/>
      <c r="AQ500" s="141"/>
      <c r="AR500" s="132"/>
      <c r="AS500" s="132"/>
      <c r="AT500" s="47"/>
      <c r="AU500" s="7"/>
      <c r="AV500" s="134"/>
      <c r="AW500" s="132"/>
      <c r="AX500" s="132"/>
      <c r="AY500" s="132"/>
      <c r="AZ500" s="132"/>
      <c r="BA500" s="10"/>
      <c r="BB500" s="134"/>
      <c r="BC500" s="132"/>
      <c r="BD500" s="132"/>
      <c r="BE500" s="132"/>
      <c r="BF500" s="132"/>
      <c r="BG500" s="11"/>
      <c r="BH500" s="134"/>
      <c r="BI500" s="132"/>
      <c r="BJ500" s="132"/>
      <c r="BK500" s="132"/>
      <c r="BL500" s="132"/>
    </row>
    <row r="501" customFormat="false" ht="13.8" hidden="false" customHeight="false" outlineLevel="0" collapsed="false">
      <c r="A501" s="140"/>
      <c r="B501" s="140"/>
      <c r="C501" s="168"/>
      <c r="D501" s="132"/>
      <c r="E501" s="132"/>
      <c r="F501" s="132"/>
      <c r="G501" s="132"/>
      <c r="H501" s="132"/>
      <c r="I501" s="132"/>
      <c r="J501" s="132"/>
      <c r="K501" s="132"/>
      <c r="L501" s="132"/>
      <c r="M501" s="132"/>
      <c r="N501" s="140"/>
      <c r="O501" s="132"/>
      <c r="P501" s="132"/>
      <c r="Q501" s="132"/>
      <c r="R501" s="132"/>
      <c r="S501" s="132"/>
      <c r="T501" s="132"/>
      <c r="U501" s="132"/>
      <c r="V501" s="132"/>
      <c r="W501" s="132"/>
      <c r="X501" s="132"/>
      <c r="Y501" s="132"/>
      <c r="Z501" s="132"/>
      <c r="AA501" s="132"/>
      <c r="AB501" s="132"/>
      <c r="AC501" s="132"/>
      <c r="AD501" s="132"/>
      <c r="AE501" s="132"/>
      <c r="AF501" s="132"/>
      <c r="AG501" s="132"/>
      <c r="AH501" s="132"/>
      <c r="AI501" s="132"/>
      <c r="AJ501" s="132"/>
      <c r="AK501" s="132"/>
      <c r="AL501" s="132"/>
      <c r="AM501" s="132"/>
      <c r="AN501" s="132"/>
      <c r="AO501" s="132"/>
      <c r="AP501" s="132"/>
      <c r="AQ501" s="141"/>
      <c r="AR501" s="132"/>
      <c r="AS501" s="132"/>
      <c r="AT501" s="47"/>
      <c r="AU501" s="7"/>
      <c r="AV501" s="134"/>
      <c r="AW501" s="132"/>
      <c r="AX501" s="132"/>
      <c r="AY501" s="132"/>
      <c r="AZ501" s="132"/>
      <c r="BA501" s="10"/>
      <c r="BB501" s="134"/>
      <c r="BC501" s="132"/>
      <c r="BD501" s="132"/>
      <c r="BE501" s="132"/>
      <c r="BF501" s="132"/>
      <c r="BG501" s="11"/>
      <c r="BH501" s="134"/>
      <c r="BI501" s="132"/>
      <c r="BJ501" s="132"/>
      <c r="BK501" s="132"/>
      <c r="BL501" s="132"/>
    </row>
    <row r="502" customFormat="false" ht="13.8" hidden="false" customHeight="false" outlineLevel="0" collapsed="false">
      <c r="A502" s="140"/>
      <c r="B502" s="140"/>
      <c r="C502" s="168"/>
      <c r="D502" s="132"/>
      <c r="E502" s="132"/>
      <c r="F502" s="132"/>
      <c r="G502" s="132"/>
      <c r="H502" s="132"/>
      <c r="I502" s="132"/>
      <c r="J502" s="132"/>
      <c r="K502" s="132"/>
      <c r="L502" s="132"/>
      <c r="M502" s="132"/>
      <c r="N502" s="140"/>
      <c r="O502" s="132"/>
      <c r="P502" s="132"/>
      <c r="Q502" s="132"/>
      <c r="R502" s="132"/>
      <c r="S502" s="132"/>
      <c r="T502" s="132"/>
      <c r="U502" s="132"/>
      <c r="V502" s="132"/>
      <c r="W502" s="132"/>
      <c r="X502" s="132"/>
      <c r="Y502" s="132"/>
      <c r="Z502" s="132"/>
      <c r="AA502" s="132"/>
      <c r="AB502" s="132"/>
      <c r="AC502" s="132"/>
      <c r="AD502" s="132"/>
      <c r="AE502" s="132"/>
      <c r="AF502" s="132"/>
      <c r="AG502" s="132"/>
      <c r="AH502" s="132"/>
      <c r="AI502" s="132"/>
      <c r="AJ502" s="132"/>
      <c r="AK502" s="132"/>
      <c r="AL502" s="132"/>
      <c r="AM502" s="132"/>
      <c r="AN502" s="132"/>
      <c r="AO502" s="132"/>
      <c r="AP502" s="132"/>
      <c r="AQ502" s="141"/>
      <c r="AR502" s="132"/>
      <c r="AS502" s="132"/>
      <c r="AT502" s="47"/>
      <c r="AU502" s="7"/>
      <c r="AV502" s="134"/>
      <c r="AW502" s="132"/>
      <c r="AX502" s="132"/>
      <c r="AY502" s="132"/>
      <c r="AZ502" s="132"/>
      <c r="BA502" s="10"/>
      <c r="BB502" s="134"/>
      <c r="BC502" s="132"/>
      <c r="BD502" s="132"/>
      <c r="BE502" s="132"/>
      <c r="BF502" s="132"/>
      <c r="BG502" s="11"/>
      <c r="BH502" s="134"/>
      <c r="BI502" s="132"/>
      <c r="BJ502" s="132"/>
      <c r="BK502" s="132"/>
      <c r="BL502" s="132"/>
    </row>
    <row r="503" customFormat="false" ht="13.8" hidden="false" customHeight="false" outlineLevel="0" collapsed="false">
      <c r="A503" s="140"/>
      <c r="B503" s="140"/>
      <c r="C503" s="168"/>
      <c r="D503" s="132"/>
      <c r="E503" s="132"/>
      <c r="F503" s="132"/>
      <c r="G503" s="132"/>
      <c r="H503" s="132"/>
      <c r="I503" s="132"/>
      <c r="J503" s="132"/>
      <c r="K503" s="132"/>
      <c r="L503" s="132"/>
      <c r="M503" s="132"/>
      <c r="N503" s="140"/>
      <c r="O503" s="132"/>
      <c r="P503" s="132"/>
      <c r="Q503" s="132"/>
      <c r="R503" s="132"/>
      <c r="S503" s="132"/>
      <c r="T503" s="132"/>
      <c r="U503" s="132"/>
      <c r="V503" s="132"/>
      <c r="W503" s="132"/>
      <c r="X503" s="132"/>
      <c r="Y503" s="132"/>
      <c r="Z503" s="132"/>
      <c r="AA503" s="132"/>
      <c r="AB503" s="132"/>
      <c r="AC503" s="132"/>
      <c r="AD503" s="132"/>
      <c r="AE503" s="132"/>
      <c r="AF503" s="132"/>
      <c r="AG503" s="132"/>
      <c r="AH503" s="132"/>
      <c r="AI503" s="132"/>
      <c r="AJ503" s="132"/>
      <c r="AK503" s="132"/>
      <c r="AL503" s="132"/>
      <c r="AM503" s="132"/>
      <c r="AN503" s="132"/>
      <c r="AO503" s="132"/>
      <c r="AP503" s="132"/>
      <c r="AQ503" s="141"/>
      <c r="AR503" s="132"/>
      <c r="AS503" s="132"/>
      <c r="AT503" s="47"/>
      <c r="AU503" s="7"/>
      <c r="AV503" s="134"/>
      <c r="AW503" s="132"/>
      <c r="AX503" s="132"/>
      <c r="AY503" s="132"/>
      <c r="AZ503" s="132"/>
      <c r="BA503" s="10"/>
      <c r="BB503" s="134"/>
      <c r="BC503" s="132"/>
      <c r="BD503" s="132"/>
      <c r="BE503" s="132"/>
      <c r="BF503" s="132"/>
      <c r="BG503" s="11"/>
      <c r="BH503" s="134"/>
      <c r="BI503" s="132"/>
      <c r="BJ503" s="132"/>
      <c r="BK503" s="132"/>
      <c r="BL503" s="132"/>
    </row>
    <row r="504" customFormat="false" ht="13.8" hidden="false" customHeight="false" outlineLevel="0" collapsed="false">
      <c r="A504" s="140"/>
      <c r="B504" s="140"/>
      <c r="C504" s="168"/>
      <c r="D504" s="132"/>
      <c r="E504" s="132"/>
      <c r="F504" s="132"/>
      <c r="G504" s="132"/>
      <c r="H504" s="132"/>
      <c r="I504" s="132"/>
      <c r="J504" s="132"/>
      <c r="K504" s="132"/>
      <c r="L504" s="132"/>
      <c r="M504" s="132"/>
      <c r="N504" s="140"/>
      <c r="O504" s="132"/>
      <c r="P504" s="132"/>
      <c r="Q504" s="132"/>
      <c r="R504" s="132"/>
      <c r="S504" s="132"/>
      <c r="T504" s="132"/>
      <c r="U504" s="132"/>
      <c r="V504" s="132"/>
      <c r="W504" s="132"/>
      <c r="X504" s="132"/>
      <c r="Y504" s="132"/>
      <c r="Z504" s="132"/>
      <c r="AA504" s="132"/>
      <c r="AB504" s="132"/>
      <c r="AC504" s="132"/>
      <c r="AD504" s="132"/>
      <c r="AE504" s="132"/>
      <c r="AF504" s="132"/>
      <c r="AG504" s="132"/>
      <c r="AH504" s="132"/>
      <c r="AI504" s="132"/>
      <c r="AJ504" s="132"/>
      <c r="AK504" s="132"/>
      <c r="AL504" s="132"/>
      <c r="AM504" s="132"/>
      <c r="AN504" s="132"/>
      <c r="AO504" s="132"/>
      <c r="AP504" s="132"/>
      <c r="AQ504" s="141"/>
      <c r="AR504" s="132"/>
      <c r="AS504" s="132"/>
      <c r="AT504" s="47"/>
      <c r="AU504" s="7"/>
      <c r="AV504" s="134"/>
      <c r="AW504" s="132"/>
      <c r="AX504" s="132"/>
      <c r="AY504" s="132"/>
      <c r="AZ504" s="132"/>
      <c r="BA504" s="10"/>
      <c r="BB504" s="134"/>
      <c r="BC504" s="132"/>
      <c r="BD504" s="132"/>
      <c r="BE504" s="132"/>
      <c r="BF504" s="132"/>
      <c r="BG504" s="11"/>
      <c r="BH504" s="134"/>
      <c r="BI504" s="132"/>
      <c r="BJ504" s="132"/>
      <c r="BK504" s="132"/>
      <c r="BL504" s="132"/>
    </row>
    <row r="505" customFormat="false" ht="13.8" hidden="false" customHeight="false" outlineLevel="0" collapsed="false">
      <c r="A505" s="140"/>
      <c r="B505" s="140"/>
      <c r="C505" s="168"/>
      <c r="D505" s="132"/>
      <c r="E505" s="132"/>
      <c r="F505" s="132"/>
      <c r="G505" s="132"/>
      <c r="H505" s="132"/>
      <c r="I505" s="132"/>
      <c r="J505" s="132"/>
      <c r="K505" s="132"/>
      <c r="L505" s="132"/>
      <c r="M505" s="132"/>
      <c r="N505" s="140"/>
      <c r="O505" s="132"/>
      <c r="P505" s="132"/>
      <c r="Q505" s="132"/>
      <c r="R505" s="132"/>
      <c r="S505" s="132"/>
      <c r="T505" s="132"/>
      <c r="U505" s="132"/>
      <c r="V505" s="132"/>
      <c r="W505" s="132"/>
      <c r="X505" s="132"/>
      <c r="Y505" s="132"/>
      <c r="Z505" s="132"/>
      <c r="AA505" s="132"/>
      <c r="AB505" s="132"/>
      <c r="AC505" s="132"/>
      <c r="AD505" s="132"/>
      <c r="AE505" s="132"/>
      <c r="AF505" s="132"/>
      <c r="AG505" s="132"/>
      <c r="AH505" s="132"/>
      <c r="AI505" s="132"/>
      <c r="AJ505" s="132"/>
      <c r="AK505" s="132"/>
      <c r="AL505" s="132"/>
      <c r="AM505" s="132"/>
      <c r="AN505" s="132"/>
      <c r="AO505" s="132"/>
      <c r="AP505" s="132"/>
      <c r="AQ505" s="141"/>
      <c r="AR505" s="132"/>
      <c r="AS505" s="132"/>
      <c r="AT505" s="47"/>
      <c r="AU505" s="7"/>
      <c r="AV505" s="134"/>
      <c r="AW505" s="132"/>
      <c r="AX505" s="132"/>
      <c r="AY505" s="132"/>
      <c r="AZ505" s="132"/>
      <c r="BA505" s="10"/>
      <c r="BB505" s="134"/>
      <c r="BC505" s="132"/>
      <c r="BD505" s="132"/>
      <c r="BE505" s="132"/>
      <c r="BF505" s="132"/>
      <c r="BG505" s="11"/>
      <c r="BH505" s="134"/>
      <c r="BI505" s="132"/>
      <c r="BJ505" s="132"/>
      <c r="BK505" s="132"/>
      <c r="BL505" s="132"/>
    </row>
    <row r="506" customFormat="false" ht="13.8" hidden="false" customHeight="false" outlineLevel="0" collapsed="false">
      <c r="A506" s="140"/>
      <c r="B506" s="140"/>
      <c r="C506" s="168"/>
      <c r="D506" s="132"/>
      <c r="E506" s="132"/>
      <c r="F506" s="132"/>
      <c r="G506" s="132"/>
      <c r="H506" s="132"/>
      <c r="I506" s="132"/>
      <c r="J506" s="132"/>
      <c r="K506" s="132"/>
      <c r="L506" s="132"/>
      <c r="M506" s="132"/>
      <c r="N506" s="140"/>
      <c r="O506" s="132"/>
      <c r="P506" s="132"/>
      <c r="Q506" s="132"/>
      <c r="R506" s="132"/>
      <c r="S506" s="132"/>
      <c r="T506" s="132"/>
      <c r="U506" s="132"/>
      <c r="V506" s="132"/>
      <c r="W506" s="132"/>
      <c r="X506" s="132"/>
      <c r="Y506" s="132"/>
      <c r="Z506" s="132"/>
      <c r="AA506" s="132"/>
      <c r="AB506" s="132"/>
      <c r="AC506" s="132"/>
      <c r="AD506" s="132"/>
      <c r="AE506" s="132"/>
      <c r="AF506" s="132"/>
      <c r="AG506" s="132"/>
      <c r="AH506" s="132"/>
      <c r="AI506" s="132"/>
      <c r="AJ506" s="132"/>
      <c r="AK506" s="132"/>
      <c r="AL506" s="132"/>
      <c r="AM506" s="132"/>
      <c r="AN506" s="132"/>
      <c r="AO506" s="132"/>
      <c r="AP506" s="132"/>
      <c r="AQ506" s="141"/>
      <c r="AR506" s="132"/>
      <c r="AS506" s="132"/>
      <c r="AT506" s="47"/>
      <c r="AU506" s="7"/>
      <c r="AV506" s="134"/>
      <c r="AW506" s="132"/>
      <c r="AX506" s="132"/>
      <c r="AY506" s="132"/>
      <c r="AZ506" s="132"/>
      <c r="BA506" s="10"/>
      <c r="BB506" s="134"/>
      <c r="BC506" s="132"/>
      <c r="BD506" s="132"/>
      <c r="BE506" s="132"/>
      <c r="BF506" s="132"/>
      <c r="BG506" s="11"/>
      <c r="BH506" s="134"/>
      <c r="BI506" s="132"/>
      <c r="BJ506" s="132"/>
      <c r="BK506" s="132"/>
      <c r="BL506" s="132"/>
    </row>
    <row r="507" customFormat="false" ht="13.8" hidden="false" customHeight="false" outlineLevel="0" collapsed="false">
      <c r="A507" s="140"/>
      <c r="B507" s="140"/>
      <c r="C507" s="168"/>
      <c r="D507" s="132"/>
      <c r="E507" s="132"/>
      <c r="F507" s="132"/>
      <c r="G507" s="132"/>
      <c r="H507" s="132"/>
      <c r="I507" s="132"/>
      <c r="J507" s="132"/>
      <c r="K507" s="132"/>
      <c r="L507" s="132"/>
      <c r="M507" s="132"/>
      <c r="N507" s="140"/>
      <c r="O507" s="132"/>
      <c r="P507" s="132"/>
      <c r="Q507" s="132"/>
      <c r="R507" s="132"/>
      <c r="S507" s="132"/>
      <c r="T507" s="132"/>
      <c r="U507" s="132"/>
      <c r="V507" s="132"/>
      <c r="W507" s="132"/>
      <c r="X507" s="132"/>
      <c r="Y507" s="132"/>
      <c r="Z507" s="132"/>
      <c r="AA507" s="132"/>
      <c r="AB507" s="132"/>
      <c r="AC507" s="132"/>
      <c r="AD507" s="132"/>
      <c r="AE507" s="132"/>
      <c r="AF507" s="132"/>
      <c r="AG507" s="132"/>
      <c r="AH507" s="132"/>
      <c r="AI507" s="132"/>
      <c r="AJ507" s="132"/>
      <c r="AK507" s="132"/>
      <c r="AL507" s="132"/>
      <c r="AM507" s="132"/>
      <c r="AN507" s="132"/>
      <c r="AO507" s="132"/>
      <c r="AP507" s="132"/>
      <c r="AQ507" s="141"/>
      <c r="AR507" s="132"/>
      <c r="AS507" s="132"/>
      <c r="AT507" s="47"/>
      <c r="AU507" s="7"/>
      <c r="AV507" s="134"/>
      <c r="AW507" s="132"/>
      <c r="AX507" s="132"/>
      <c r="AY507" s="132"/>
      <c r="AZ507" s="132"/>
      <c r="BA507" s="10"/>
      <c r="BB507" s="134"/>
      <c r="BC507" s="132"/>
      <c r="BD507" s="132"/>
      <c r="BE507" s="132"/>
      <c r="BF507" s="132"/>
      <c r="BG507" s="11"/>
      <c r="BH507" s="134"/>
      <c r="BI507" s="132"/>
      <c r="BJ507" s="132"/>
      <c r="BK507" s="132"/>
      <c r="BL507" s="132"/>
    </row>
    <row r="508" customFormat="false" ht="13.8" hidden="false" customHeight="false" outlineLevel="0" collapsed="false">
      <c r="A508" s="140"/>
      <c r="B508" s="140"/>
      <c r="C508" s="168"/>
      <c r="D508" s="132"/>
      <c r="E508" s="132"/>
      <c r="F508" s="132"/>
      <c r="G508" s="132"/>
      <c r="H508" s="132"/>
      <c r="I508" s="132"/>
      <c r="J508" s="132"/>
      <c r="K508" s="132"/>
      <c r="L508" s="132"/>
      <c r="M508" s="132"/>
      <c r="N508" s="140"/>
      <c r="O508" s="132"/>
      <c r="P508" s="132"/>
      <c r="Q508" s="132"/>
      <c r="R508" s="132"/>
      <c r="S508" s="132"/>
      <c r="T508" s="132"/>
      <c r="U508" s="132"/>
      <c r="V508" s="132"/>
      <c r="W508" s="132"/>
      <c r="X508" s="132"/>
      <c r="Y508" s="132"/>
      <c r="Z508" s="132"/>
      <c r="AA508" s="132"/>
      <c r="AB508" s="132"/>
      <c r="AC508" s="132"/>
      <c r="AD508" s="132"/>
      <c r="AE508" s="132"/>
      <c r="AF508" s="132"/>
      <c r="AG508" s="132"/>
      <c r="AH508" s="132"/>
      <c r="AI508" s="132"/>
      <c r="AJ508" s="132"/>
      <c r="AK508" s="132"/>
      <c r="AL508" s="132"/>
      <c r="AM508" s="132"/>
      <c r="AN508" s="132"/>
      <c r="AO508" s="132"/>
      <c r="AP508" s="132"/>
      <c r="AQ508" s="141"/>
      <c r="AR508" s="132"/>
      <c r="AS508" s="132"/>
      <c r="AT508" s="47"/>
      <c r="AU508" s="7"/>
      <c r="AV508" s="134"/>
      <c r="AW508" s="132"/>
      <c r="AX508" s="132"/>
      <c r="AY508" s="132"/>
      <c r="AZ508" s="132"/>
      <c r="BA508" s="10"/>
      <c r="BB508" s="134"/>
      <c r="BC508" s="132"/>
      <c r="BD508" s="132"/>
      <c r="BE508" s="132"/>
      <c r="BF508" s="132"/>
      <c r="BG508" s="11"/>
      <c r="BH508" s="134"/>
      <c r="BI508" s="132"/>
      <c r="BJ508" s="132"/>
      <c r="BK508" s="132"/>
      <c r="BL508" s="132"/>
    </row>
    <row r="509" customFormat="false" ht="13.8" hidden="false" customHeight="false" outlineLevel="0" collapsed="false">
      <c r="A509" s="140"/>
      <c r="B509" s="140"/>
      <c r="C509" s="168"/>
      <c r="D509" s="132"/>
      <c r="E509" s="132"/>
      <c r="F509" s="132"/>
      <c r="G509" s="132"/>
      <c r="H509" s="132"/>
      <c r="I509" s="132"/>
      <c r="J509" s="132"/>
      <c r="K509" s="132"/>
      <c r="L509" s="132"/>
      <c r="M509" s="132"/>
      <c r="N509" s="140"/>
      <c r="O509" s="132"/>
      <c r="P509" s="132"/>
      <c r="Q509" s="132"/>
      <c r="R509" s="132"/>
      <c r="S509" s="132"/>
      <c r="T509" s="132"/>
      <c r="U509" s="132"/>
      <c r="V509" s="132"/>
      <c r="W509" s="132"/>
      <c r="X509" s="132"/>
      <c r="Y509" s="132"/>
      <c r="Z509" s="132"/>
      <c r="AA509" s="132"/>
      <c r="AB509" s="132"/>
      <c r="AC509" s="132"/>
      <c r="AD509" s="132"/>
      <c r="AE509" s="132"/>
      <c r="AF509" s="132"/>
      <c r="AG509" s="132"/>
      <c r="AH509" s="132"/>
      <c r="AI509" s="132"/>
      <c r="AJ509" s="132"/>
      <c r="AK509" s="132"/>
      <c r="AL509" s="132"/>
      <c r="AM509" s="132"/>
      <c r="AN509" s="132"/>
      <c r="AO509" s="132"/>
      <c r="AP509" s="132"/>
      <c r="AQ509" s="141"/>
      <c r="AR509" s="132"/>
      <c r="AS509" s="132"/>
      <c r="AT509" s="47"/>
      <c r="AU509" s="7"/>
      <c r="AV509" s="134"/>
      <c r="AW509" s="132"/>
      <c r="AX509" s="132"/>
      <c r="AY509" s="132"/>
      <c r="AZ509" s="132"/>
      <c r="BA509" s="10"/>
      <c r="BB509" s="134"/>
      <c r="BC509" s="132"/>
      <c r="BD509" s="132"/>
      <c r="BE509" s="132"/>
      <c r="BF509" s="132"/>
      <c r="BG509" s="11"/>
      <c r="BH509" s="134"/>
      <c r="BI509" s="132"/>
      <c r="BJ509" s="132"/>
      <c r="BK509" s="132"/>
      <c r="BL509" s="132"/>
    </row>
    <row r="510" customFormat="false" ht="13.8" hidden="false" customHeight="false" outlineLevel="0" collapsed="false">
      <c r="A510" s="140"/>
      <c r="B510" s="140"/>
      <c r="C510" s="168"/>
      <c r="D510" s="132"/>
      <c r="E510" s="132"/>
      <c r="F510" s="132"/>
      <c r="G510" s="132"/>
      <c r="H510" s="132"/>
      <c r="I510" s="132"/>
      <c r="J510" s="132"/>
      <c r="K510" s="132"/>
      <c r="L510" s="132"/>
      <c r="M510" s="132"/>
      <c r="N510" s="140"/>
      <c r="O510" s="132"/>
      <c r="P510" s="132"/>
      <c r="Q510" s="132"/>
      <c r="R510" s="132"/>
      <c r="S510" s="132"/>
      <c r="T510" s="132"/>
      <c r="U510" s="132"/>
      <c r="V510" s="132"/>
      <c r="W510" s="132"/>
      <c r="X510" s="132"/>
      <c r="Y510" s="132"/>
      <c r="Z510" s="132"/>
      <c r="AA510" s="132"/>
      <c r="AB510" s="132"/>
      <c r="AC510" s="132"/>
      <c r="AD510" s="132"/>
      <c r="AE510" s="132"/>
      <c r="AF510" s="132"/>
      <c r="AG510" s="132"/>
      <c r="AH510" s="132"/>
      <c r="AI510" s="132"/>
      <c r="AJ510" s="132"/>
      <c r="AK510" s="132"/>
      <c r="AL510" s="132"/>
      <c r="AM510" s="132"/>
      <c r="AN510" s="132"/>
      <c r="AO510" s="132"/>
      <c r="AP510" s="132"/>
      <c r="AQ510" s="141"/>
      <c r="AR510" s="132"/>
      <c r="AS510" s="132"/>
      <c r="AT510" s="47"/>
      <c r="AU510" s="7"/>
      <c r="AV510" s="134"/>
      <c r="AW510" s="132"/>
      <c r="AX510" s="132"/>
      <c r="AY510" s="132"/>
      <c r="AZ510" s="132"/>
      <c r="BA510" s="10"/>
      <c r="BB510" s="134"/>
      <c r="BC510" s="132"/>
      <c r="BD510" s="132"/>
      <c r="BE510" s="132"/>
      <c r="BF510" s="132"/>
      <c r="BG510" s="11"/>
      <c r="BH510" s="134"/>
      <c r="BI510" s="132"/>
      <c r="BJ510" s="132"/>
      <c r="BK510" s="132"/>
      <c r="BL510" s="132"/>
    </row>
    <row r="511" customFormat="false" ht="13.8" hidden="false" customHeight="false" outlineLevel="0" collapsed="false">
      <c r="A511" s="140"/>
      <c r="B511" s="140"/>
      <c r="C511" s="168"/>
      <c r="D511" s="132"/>
      <c r="E511" s="132"/>
      <c r="F511" s="132"/>
      <c r="G511" s="132"/>
      <c r="H511" s="132"/>
      <c r="I511" s="132"/>
      <c r="J511" s="132"/>
      <c r="K511" s="132"/>
      <c r="L511" s="132"/>
      <c r="M511" s="132"/>
      <c r="N511" s="140"/>
      <c r="O511" s="132"/>
      <c r="P511" s="132"/>
      <c r="Q511" s="132"/>
      <c r="R511" s="132"/>
      <c r="S511" s="132"/>
      <c r="T511" s="132"/>
      <c r="U511" s="132"/>
      <c r="V511" s="132"/>
      <c r="W511" s="132"/>
      <c r="X511" s="132"/>
      <c r="Y511" s="132"/>
      <c r="Z511" s="132"/>
      <c r="AA511" s="132"/>
      <c r="AB511" s="132"/>
      <c r="AC511" s="132"/>
      <c r="AD511" s="132"/>
      <c r="AE511" s="132"/>
      <c r="AF511" s="132"/>
      <c r="AG511" s="132"/>
      <c r="AH511" s="132"/>
      <c r="AI511" s="132"/>
      <c r="AJ511" s="132"/>
      <c r="AK511" s="132"/>
      <c r="AL511" s="132"/>
      <c r="AM511" s="132"/>
      <c r="AN511" s="132"/>
      <c r="AO511" s="132"/>
      <c r="AP511" s="132"/>
      <c r="AQ511" s="141"/>
      <c r="AR511" s="132"/>
      <c r="AS511" s="132"/>
      <c r="AT511" s="47"/>
      <c r="AU511" s="7"/>
      <c r="AV511" s="134"/>
      <c r="AW511" s="132"/>
      <c r="AX511" s="132"/>
      <c r="AY511" s="132"/>
      <c r="AZ511" s="132"/>
      <c r="BA511" s="10"/>
      <c r="BB511" s="134"/>
      <c r="BC511" s="132"/>
      <c r="BD511" s="132"/>
      <c r="BE511" s="132"/>
      <c r="BF511" s="132"/>
      <c r="BG511" s="11"/>
      <c r="BH511" s="134"/>
      <c r="BI511" s="132"/>
      <c r="BJ511" s="132"/>
      <c r="BK511" s="132"/>
      <c r="BL511" s="132"/>
    </row>
    <row r="512" customFormat="false" ht="13.8" hidden="false" customHeight="false" outlineLevel="0" collapsed="false">
      <c r="A512" s="140"/>
      <c r="B512" s="140"/>
      <c r="C512" s="168"/>
      <c r="D512" s="132"/>
      <c r="E512" s="132"/>
      <c r="F512" s="132"/>
      <c r="G512" s="132"/>
      <c r="H512" s="132"/>
      <c r="I512" s="132"/>
      <c r="J512" s="132"/>
      <c r="K512" s="132"/>
      <c r="L512" s="132"/>
      <c r="M512" s="132"/>
      <c r="N512" s="140"/>
      <c r="O512" s="132"/>
      <c r="P512" s="132"/>
      <c r="Q512" s="132"/>
      <c r="R512" s="132"/>
      <c r="S512" s="132"/>
      <c r="T512" s="132"/>
      <c r="U512" s="132"/>
      <c r="V512" s="132"/>
      <c r="W512" s="132"/>
      <c r="X512" s="132"/>
      <c r="Y512" s="132"/>
      <c r="Z512" s="132"/>
      <c r="AA512" s="132"/>
      <c r="AB512" s="132"/>
      <c r="AC512" s="132"/>
      <c r="AD512" s="132"/>
      <c r="AE512" s="132"/>
      <c r="AF512" s="132"/>
      <c r="AG512" s="132"/>
      <c r="AH512" s="132"/>
      <c r="AI512" s="132"/>
      <c r="AJ512" s="132"/>
      <c r="AK512" s="132"/>
      <c r="AL512" s="132"/>
      <c r="AM512" s="132"/>
      <c r="AN512" s="132"/>
      <c r="AO512" s="132"/>
      <c r="AP512" s="132"/>
      <c r="AQ512" s="141"/>
      <c r="AR512" s="132"/>
      <c r="AS512" s="132"/>
      <c r="AT512" s="47"/>
      <c r="AU512" s="7"/>
      <c r="AV512" s="134"/>
      <c r="AW512" s="132"/>
      <c r="AX512" s="132"/>
      <c r="AY512" s="132"/>
      <c r="AZ512" s="132"/>
      <c r="BA512" s="10"/>
      <c r="BB512" s="134"/>
      <c r="BC512" s="132"/>
      <c r="BD512" s="132"/>
      <c r="BE512" s="132"/>
      <c r="BF512" s="132"/>
      <c r="BG512" s="11"/>
      <c r="BH512" s="134"/>
      <c r="BI512" s="132"/>
      <c r="BJ512" s="132"/>
      <c r="BK512" s="132"/>
      <c r="BL512" s="132"/>
    </row>
    <row r="513" customFormat="false" ht="13.8" hidden="false" customHeight="false" outlineLevel="0" collapsed="false">
      <c r="A513" s="140"/>
      <c r="B513" s="140"/>
      <c r="C513" s="168"/>
      <c r="D513" s="132"/>
      <c r="E513" s="132"/>
      <c r="F513" s="132"/>
      <c r="G513" s="132"/>
      <c r="H513" s="132"/>
      <c r="I513" s="132"/>
      <c r="J513" s="132"/>
      <c r="K513" s="132"/>
      <c r="L513" s="132"/>
      <c r="M513" s="132"/>
      <c r="N513" s="140"/>
      <c r="O513" s="132"/>
      <c r="P513" s="132"/>
      <c r="Q513" s="132"/>
      <c r="R513" s="132"/>
      <c r="S513" s="132"/>
      <c r="T513" s="132"/>
      <c r="U513" s="132"/>
      <c r="V513" s="132"/>
      <c r="W513" s="132"/>
      <c r="X513" s="132"/>
      <c r="Y513" s="132"/>
      <c r="Z513" s="132"/>
      <c r="AA513" s="132"/>
      <c r="AB513" s="132"/>
      <c r="AC513" s="132"/>
      <c r="AD513" s="132"/>
      <c r="AE513" s="132"/>
      <c r="AF513" s="132"/>
      <c r="AG513" s="132"/>
      <c r="AH513" s="132"/>
      <c r="AI513" s="132"/>
      <c r="AJ513" s="132"/>
      <c r="AK513" s="132"/>
      <c r="AL513" s="132"/>
      <c r="AM513" s="132"/>
      <c r="AN513" s="132"/>
      <c r="AO513" s="132"/>
      <c r="AP513" s="132"/>
      <c r="AQ513" s="141"/>
      <c r="AR513" s="132"/>
      <c r="AS513" s="132"/>
      <c r="AT513" s="47"/>
      <c r="AU513" s="7"/>
      <c r="AV513" s="134"/>
      <c r="AW513" s="132"/>
      <c r="AX513" s="132"/>
      <c r="AY513" s="132"/>
      <c r="AZ513" s="132"/>
      <c r="BA513" s="10"/>
      <c r="BB513" s="134"/>
      <c r="BC513" s="132"/>
      <c r="BD513" s="132"/>
      <c r="BE513" s="132"/>
      <c r="BF513" s="132"/>
      <c r="BG513" s="11"/>
      <c r="BH513" s="134"/>
      <c r="BI513" s="132"/>
      <c r="BJ513" s="132"/>
      <c r="BK513" s="132"/>
      <c r="BL513" s="132"/>
    </row>
    <row r="514" customFormat="false" ht="13.8" hidden="false" customHeight="false" outlineLevel="0" collapsed="false">
      <c r="A514" s="140"/>
      <c r="B514" s="140"/>
      <c r="C514" s="168"/>
      <c r="D514" s="132"/>
      <c r="E514" s="132"/>
      <c r="F514" s="132"/>
      <c r="G514" s="132"/>
      <c r="H514" s="132"/>
      <c r="I514" s="132"/>
      <c r="J514" s="132"/>
      <c r="K514" s="132"/>
      <c r="L514" s="132"/>
      <c r="M514" s="132"/>
      <c r="N514" s="140"/>
      <c r="O514" s="132"/>
      <c r="P514" s="132"/>
      <c r="Q514" s="132"/>
      <c r="R514" s="132"/>
      <c r="S514" s="132"/>
      <c r="T514" s="132"/>
      <c r="U514" s="132"/>
      <c r="V514" s="132"/>
      <c r="W514" s="132"/>
      <c r="X514" s="132"/>
      <c r="Y514" s="132"/>
      <c r="Z514" s="132"/>
      <c r="AA514" s="132"/>
      <c r="AB514" s="132"/>
      <c r="AC514" s="132"/>
      <c r="AD514" s="132"/>
      <c r="AE514" s="132"/>
      <c r="AF514" s="132"/>
      <c r="AG514" s="132"/>
      <c r="AH514" s="132"/>
      <c r="AI514" s="132"/>
      <c r="AJ514" s="132"/>
      <c r="AK514" s="132"/>
      <c r="AL514" s="132"/>
      <c r="AM514" s="132"/>
      <c r="AN514" s="132"/>
      <c r="AO514" s="132"/>
      <c r="AP514" s="132"/>
      <c r="AQ514" s="141"/>
      <c r="AR514" s="132"/>
      <c r="AS514" s="132"/>
      <c r="AT514" s="47"/>
      <c r="AU514" s="7"/>
      <c r="AV514" s="134"/>
      <c r="AW514" s="132"/>
      <c r="AX514" s="132"/>
      <c r="AY514" s="132"/>
      <c r="AZ514" s="132"/>
      <c r="BA514" s="10"/>
      <c r="BB514" s="134"/>
      <c r="BC514" s="132"/>
      <c r="BD514" s="132"/>
      <c r="BE514" s="132"/>
      <c r="BF514" s="132"/>
      <c r="BG514" s="11"/>
      <c r="BH514" s="134"/>
      <c r="BI514" s="132"/>
      <c r="BJ514" s="132"/>
      <c r="BK514" s="132"/>
      <c r="BL514" s="132"/>
    </row>
    <row r="515" customFormat="false" ht="13.8" hidden="false" customHeight="false" outlineLevel="0" collapsed="false">
      <c r="A515" s="140"/>
      <c r="B515" s="140"/>
      <c r="C515" s="168"/>
      <c r="D515" s="132"/>
      <c r="E515" s="132"/>
      <c r="F515" s="132"/>
      <c r="G515" s="132"/>
      <c r="H515" s="132"/>
      <c r="I515" s="132"/>
      <c r="J515" s="132"/>
      <c r="K515" s="132"/>
      <c r="L515" s="132"/>
      <c r="M515" s="132"/>
      <c r="N515" s="140"/>
      <c r="O515" s="132"/>
      <c r="P515" s="132"/>
      <c r="Q515" s="132"/>
      <c r="R515" s="132"/>
      <c r="S515" s="132"/>
      <c r="T515" s="132"/>
      <c r="U515" s="132"/>
      <c r="V515" s="132"/>
      <c r="W515" s="132"/>
      <c r="X515" s="132"/>
      <c r="Y515" s="132"/>
      <c r="Z515" s="132"/>
      <c r="AA515" s="132"/>
      <c r="AB515" s="132"/>
      <c r="AC515" s="132"/>
      <c r="AD515" s="132"/>
      <c r="AE515" s="132"/>
      <c r="AF515" s="132"/>
      <c r="AG515" s="132"/>
      <c r="AH515" s="132"/>
      <c r="AI515" s="132"/>
      <c r="AJ515" s="132"/>
      <c r="AK515" s="132"/>
      <c r="AL515" s="132"/>
      <c r="AM515" s="132"/>
      <c r="AN515" s="132"/>
      <c r="AO515" s="132"/>
      <c r="AP515" s="132"/>
      <c r="AQ515" s="141"/>
      <c r="AR515" s="132"/>
      <c r="AS515" s="132"/>
      <c r="AT515" s="47"/>
      <c r="AU515" s="7"/>
      <c r="AV515" s="134"/>
      <c r="AW515" s="132"/>
      <c r="AX515" s="132"/>
      <c r="AY515" s="132"/>
      <c r="AZ515" s="132"/>
      <c r="BA515" s="10"/>
      <c r="BB515" s="134"/>
      <c r="BC515" s="132"/>
      <c r="BD515" s="132"/>
      <c r="BE515" s="132"/>
      <c r="BF515" s="132"/>
      <c r="BG515" s="11"/>
      <c r="BH515" s="134"/>
      <c r="BI515" s="132"/>
      <c r="BJ515" s="132"/>
      <c r="BK515" s="132"/>
      <c r="BL515" s="132"/>
    </row>
    <row r="516" customFormat="false" ht="13.8" hidden="false" customHeight="false" outlineLevel="0" collapsed="false">
      <c r="A516" s="140"/>
      <c r="B516" s="140"/>
      <c r="C516" s="168"/>
      <c r="D516" s="132"/>
      <c r="E516" s="132"/>
      <c r="F516" s="132"/>
      <c r="G516" s="132"/>
      <c r="H516" s="132"/>
      <c r="I516" s="132"/>
      <c r="J516" s="132"/>
      <c r="K516" s="132"/>
      <c r="L516" s="132"/>
      <c r="M516" s="132"/>
      <c r="N516" s="140"/>
      <c r="O516" s="132"/>
      <c r="P516" s="132"/>
      <c r="Q516" s="132"/>
      <c r="R516" s="132"/>
      <c r="S516" s="132"/>
      <c r="T516" s="132"/>
      <c r="U516" s="132"/>
      <c r="V516" s="132"/>
      <c r="W516" s="132"/>
      <c r="X516" s="132"/>
      <c r="Y516" s="132"/>
      <c r="Z516" s="132"/>
      <c r="AA516" s="132"/>
      <c r="AB516" s="132"/>
      <c r="AC516" s="132"/>
      <c r="AD516" s="132"/>
      <c r="AE516" s="132"/>
      <c r="AF516" s="132"/>
      <c r="AG516" s="132"/>
      <c r="AH516" s="132"/>
      <c r="AI516" s="132"/>
      <c r="AJ516" s="132"/>
      <c r="AK516" s="132"/>
      <c r="AL516" s="132"/>
      <c r="AM516" s="132"/>
      <c r="AN516" s="132"/>
      <c r="AO516" s="132"/>
      <c r="AP516" s="132"/>
      <c r="AQ516" s="141"/>
      <c r="AR516" s="132"/>
      <c r="AS516" s="132"/>
      <c r="AT516" s="47"/>
      <c r="AU516" s="7"/>
      <c r="AV516" s="134"/>
      <c r="AW516" s="132"/>
      <c r="AX516" s="132"/>
      <c r="AY516" s="132"/>
      <c r="AZ516" s="132"/>
      <c r="BA516" s="10"/>
      <c r="BB516" s="134"/>
      <c r="BC516" s="132"/>
      <c r="BD516" s="132"/>
      <c r="BE516" s="132"/>
      <c r="BF516" s="132"/>
      <c r="BG516" s="11"/>
      <c r="BH516" s="134"/>
      <c r="BI516" s="132"/>
      <c r="BJ516" s="132"/>
      <c r="BK516" s="132"/>
      <c r="BL516" s="132"/>
    </row>
    <row r="517" customFormat="false" ht="13.8" hidden="false" customHeight="false" outlineLevel="0" collapsed="false">
      <c r="A517" s="140"/>
      <c r="B517" s="140"/>
      <c r="C517" s="168"/>
      <c r="D517" s="132"/>
      <c r="E517" s="132"/>
      <c r="F517" s="132"/>
      <c r="G517" s="132"/>
      <c r="H517" s="132"/>
      <c r="I517" s="132"/>
      <c r="J517" s="132"/>
      <c r="K517" s="132"/>
      <c r="L517" s="132"/>
      <c r="M517" s="132"/>
      <c r="N517" s="140"/>
      <c r="O517" s="132"/>
      <c r="P517" s="132"/>
      <c r="Q517" s="132"/>
      <c r="R517" s="132"/>
      <c r="S517" s="132"/>
      <c r="T517" s="132"/>
      <c r="U517" s="132"/>
      <c r="V517" s="132"/>
      <c r="W517" s="132"/>
      <c r="X517" s="132"/>
      <c r="Y517" s="132"/>
      <c r="Z517" s="132"/>
      <c r="AA517" s="132"/>
      <c r="AB517" s="132"/>
      <c r="AC517" s="132"/>
      <c r="AD517" s="132"/>
      <c r="AE517" s="132"/>
      <c r="AF517" s="132"/>
      <c r="AG517" s="132"/>
      <c r="AH517" s="132"/>
      <c r="AI517" s="132"/>
      <c r="AJ517" s="132"/>
      <c r="AK517" s="132"/>
      <c r="AL517" s="132"/>
      <c r="AM517" s="132"/>
      <c r="AN517" s="132"/>
      <c r="AO517" s="132"/>
      <c r="AP517" s="132"/>
      <c r="AQ517" s="141"/>
      <c r="AR517" s="132"/>
      <c r="AS517" s="132"/>
      <c r="AT517" s="47"/>
      <c r="AU517" s="7"/>
      <c r="AV517" s="134"/>
      <c r="AW517" s="132"/>
      <c r="AX517" s="132"/>
      <c r="AY517" s="132"/>
      <c r="AZ517" s="132"/>
      <c r="BA517" s="10"/>
      <c r="BB517" s="134"/>
      <c r="BC517" s="132"/>
      <c r="BD517" s="132"/>
      <c r="BE517" s="132"/>
      <c r="BF517" s="132"/>
      <c r="BG517" s="11"/>
      <c r="BH517" s="134"/>
      <c r="BI517" s="132"/>
      <c r="BJ517" s="132"/>
      <c r="BK517" s="132"/>
      <c r="BL517" s="132"/>
    </row>
    <row r="518" customFormat="false" ht="13.8" hidden="false" customHeight="false" outlineLevel="0" collapsed="false">
      <c r="A518" s="140"/>
      <c r="B518" s="140"/>
      <c r="C518" s="168"/>
      <c r="D518" s="132"/>
      <c r="E518" s="132"/>
      <c r="F518" s="132"/>
      <c r="G518" s="132"/>
      <c r="H518" s="132"/>
      <c r="I518" s="132"/>
      <c r="J518" s="132"/>
      <c r="K518" s="132"/>
      <c r="L518" s="132"/>
      <c r="M518" s="132"/>
      <c r="N518" s="140"/>
      <c r="O518" s="132"/>
      <c r="P518" s="132"/>
      <c r="Q518" s="132"/>
      <c r="R518" s="132"/>
      <c r="S518" s="132"/>
      <c r="T518" s="132"/>
      <c r="U518" s="132"/>
      <c r="V518" s="132"/>
      <c r="W518" s="132"/>
      <c r="X518" s="132"/>
      <c r="Y518" s="132"/>
      <c r="Z518" s="132"/>
      <c r="AA518" s="132"/>
      <c r="AB518" s="132"/>
      <c r="AC518" s="132"/>
      <c r="AD518" s="132"/>
      <c r="AE518" s="132"/>
      <c r="AF518" s="132"/>
      <c r="AG518" s="132"/>
      <c r="AH518" s="132"/>
      <c r="AI518" s="132"/>
      <c r="AJ518" s="132"/>
      <c r="AK518" s="132"/>
      <c r="AL518" s="132"/>
      <c r="AM518" s="132"/>
      <c r="AN518" s="132"/>
      <c r="AO518" s="132"/>
      <c r="AP518" s="132"/>
      <c r="AQ518" s="141"/>
      <c r="AR518" s="132"/>
      <c r="AS518" s="132"/>
      <c r="AT518" s="47"/>
      <c r="AU518" s="7"/>
      <c r="AV518" s="134"/>
      <c r="AW518" s="132"/>
      <c r="AX518" s="132"/>
      <c r="AY518" s="132"/>
      <c r="AZ518" s="132"/>
      <c r="BA518" s="10"/>
      <c r="BB518" s="134"/>
      <c r="BC518" s="132"/>
      <c r="BD518" s="132"/>
      <c r="BE518" s="132"/>
      <c r="BF518" s="132"/>
      <c r="BG518" s="11"/>
      <c r="BH518" s="134"/>
      <c r="BI518" s="132"/>
      <c r="BJ518" s="132"/>
      <c r="BK518" s="132"/>
      <c r="BL518" s="132"/>
    </row>
    <row r="519" customFormat="false" ht="13.8" hidden="false" customHeight="false" outlineLevel="0" collapsed="false">
      <c r="A519" s="140"/>
      <c r="B519" s="140"/>
      <c r="C519" s="168"/>
      <c r="D519" s="132"/>
      <c r="E519" s="132"/>
      <c r="F519" s="132"/>
      <c r="G519" s="132"/>
      <c r="H519" s="132"/>
      <c r="I519" s="132"/>
      <c r="J519" s="132"/>
      <c r="K519" s="132"/>
      <c r="L519" s="132"/>
      <c r="M519" s="132"/>
      <c r="N519" s="140"/>
      <c r="O519" s="132"/>
      <c r="P519" s="132"/>
      <c r="Q519" s="132"/>
      <c r="R519" s="132"/>
      <c r="S519" s="132"/>
      <c r="T519" s="132"/>
      <c r="U519" s="132"/>
      <c r="V519" s="132"/>
      <c r="W519" s="132"/>
      <c r="X519" s="132"/>
      <c r="Y519" s="132"/>
      <c r="Z519" s="132"/>
      <c r="AA519" s="132"/>
      <c r="AB519" s="132"/>
      <c r="AC519" s="132"/>
      <c r="AD519" s="132"/>
      <c r="AE519" s="132"/>
      <c r="AF519" s="132"/>
      <c r="AG519" s="132"/>
      <c r="AH519" s="132"/>
      <c r="AI519" s="132"/>
      <c r="AJ519" s="132"/>
      <c r="AK519" s="132"/>
      <c r="AL519" s="132"/>
      <c r="AM519" s="132"/>
      <c r="AN519" s="132"/>
      <c r="AO519" s="132"/>
      <c r="AP519" s="132"/>
      <c r="AQ519" s="141"/>
      <c r="AR519" s="132"/>
      <c r="AS519" s="132"/>
      <c r="AT519" s="47"/>
      <c r="AU519" s="7"/>
      <c r="AV519" s="134"/>
      <c r="AW519" s="132"/>
      <c r="AX519" s="132"/>
      <c r="AY519" s="132"/>
      <c r="AZ519" s="132"/>
      <c r="BA519" s="10"/>
      <c r="BB519" s="134"/>
      <c r="BC519" s="132"/>
      <c r="BD519" s="132"/>
      <c r="BE519" s="132"/>
      <c r="BF519" s="132"/>
      <c r="BG519" s="11"/>
      <c r="BH519" s="134"/>
      <c r="BI519" s="132"/>
      <c r="BJ519" s="132"/>
      <c r="BK519" s="132"/>
      <c r="BL519" s="132"/>
    </row>
    <row r="520" customFormat="false" ht="13.8" hidden="false" customHeight="false" outlineLevel="0" collapsed="false">
      <c r="A520" s="140"/>
      <c r="B520" s="140"/>
      <c r="C520" s="168"/>
      <c r="D520" s="132"/>
      <c r="E520" s="132"/>
      <c r="F520" s="132"/>
      <c r="G520" s="132"/>
      <c r="H520" s="132"/>
      <c r="I520" s="132"/>
      <c r="J520" s="132"/>
      <c r="K520" s="132"/>
      <c r="L520" s="132"/>
      <c r="M520" s="132"/>
      <c r="N520" s="140"/>
      <c r="O520" s="132"/>
      <c r="P520" s="132"/>
      <c r="Q520" s="132"/>
      <c r="R520" s="132"/>
      <c r="S520" s="132"/>
      <c r="T520" s="132"/>
      <c r="U520" s="132"/>
      <c r="V520" s="132"/>
      <c r="W520" s="132"/>
      <c r="X520" s="132"/>
      <c r="Y520" s="132"/>
      <c r="Z520" s="132"/>
      <c r="AA520" s="132"/>
      <c r="AB520" s="132"/>
      <c r="AC520" s="132"/>
      <c r="AD520" s="132"/>
      <c r="AE520" s="132"/>
      <c r="AF520" s="132"/>
      <c r="AG520" s="132"/>
      <c r="AH520" s="132"/>
      <c r="AI520" s="132"/>
      <c r="AJ520" s="132"/>
      <c r="AK520" s="132"/>
      <c r="AL520" s="132"/>
      <c r="AM520" s="132"/>
      <c r="AN520" s="132"/>
      <c r="AO520" s="132"/>
      <c r="AP520" s="132"/>
      <c r="AQ520" s="141"/>
      <c r="AR520" s="132"/>
      <c r="AS520" s="132"/>
      <c r="AT520" s="47"/>
      <c r="AU520" s="7"/>
      <c r="AV520" s="134"/>
      <c r="AW520" s="132"/>
      <c r="AX520" s="132"/>
      <c r="AY520" s="132"/>
      <c r="AZ520" s="132"/>
      <c r="BA520" s="10"/>
      <c r="BB520" s="134"/>
      <c r="BC520" s="132"/>
      <c r="BD520" s="132"/>
      <c r="BE520" s="132"/>
      <c r="BF520" s="132"/>
      <c r="BG520" s="11"/>
      <c r="BH520" s="134"/>
      <c r="BI520" s="132"/>
      <c r="BJ520" s="132"/>
      <c r="BK520" s="132"/>
      <c r="BL520" s="132"/>
    </row>
    <row r="521" customFormat="false" ht="13.8" hidden="false" customHeight="false" outlineLevel="0" collapsed="false">
      <c r="A521" s="140"/>
      <c r="B521" s="140"/>
      <c r="C521" s="168"/>
      <c r="D521" s="132"/>
      <c r="E521" s="132"/>
      <c r="F521" s="132"/>
      <c r="G521" s="132"/>
      <c r="H521" s="132"/>
      <c r="I521" s="132"/>
      <c r="J521" s="132"/>
      <c r="K521" s="132"/>
      <c r="L521" s="132"/>
      <c r="M521" s="132"/>
      <c r="N521" s="140"/>
      <c r="O521" s="132"/>
      <c r="P521" s="132"/>
      <c r="Q521" s="132"/>
      <c r="R521" s="132"/>
      <c r="S521" s="132"/>
      <c r="T521" s="132"/>
      <c r="U521" s="132"/>
      <c r="V521" s="132"/>
      <c r="W521" s="132"/>
      <c r="X521" s="132"/>
      <c r="Y521" s="132"/>
      <c r="Z521" s="132"/>
      <c r="AA521" s="132"/>
      <c r="AB521" s="132"/>
      <c r="AC521" s="132"/>
      <c r="AD521" s="132"/>
      <c r="AE521" s="132"/>
      <c r="AF521" s="132"/>
      <c r="AG521" s="132"/>
      <c r="AH521" s="132"/>
      <c r="AI521" s="132"/>
      <c r="AJ521" s="132"/>
      <c r="AK521" s="132"/>
      <c r="AL521" s="132"/>
      <c r="AM521" s="132"/>
      <c r="AN521" s="132"/>
      <c r="AO521" s="132"/>
      <c r="AP521" s="132"/>
      <c r="AQ521" s="141"/>
      <c r="AR521" s="132"/>
      <c r="AS521" s="132"/>
      <c r="AT521" s="47"/>
      <c r="AU521" s="7"/>
      <c r="AV521" s="134"/>
      <c r="AW521" s="132"/>
      <c r="AX521" s="132"/>
      <c r="AY521" s="132"/>
      <c r="AZ521" s="132"/>
      <c r="BA521" s="10"/>
      <c r="BB521" s="134"/>
      <c r="BC521" s="132"/>
      <c r="BD521" s="132"/>
      <c r="BE521" s="132"/>
      <c r="BF521" s="132"/>
      <c r="BG521" s="11"/>
      <c r="BH521" s="134"/>
      <c r="BI521" s="132"/>
      <c r="BJ521" s="132"/>
      <c r="BK521" s="132"/>
      <c r="BL521" s="132"/>
    </row>
    <row r="522" customFormat="false" ht="13.8" hidden="false" customHeight="false" outlineLevel="0" collapsed="false">
      <c r="A522" s="140"/>
      <c r="B522" s="140"/>
      <c r="C522" s="168"/>
      <c r="D522" s="132"/>
      <c r="E522" s="132"/>
      <c r="F522" s="132"/>
      <c r="G522" s="132"/>
      <c r="H522" s="132"/>
      <c r="I522" s="132"/>
      <c r="J522" s="132"/>
      <c r="K522" s="132"/>
      <c r="L522" s="132"/>
      <c r="M522" s="132"/>
      <c r="N522" s="140"/>
      <c r="O522" s="132"/>
      <c r="P522" s="132"/>
      <c r="Q522" s="132"/>
      <c r="R522" s="132"/>
      <c r="S522" s="132"/>
      <c r="T522" s="132"/>
      <c r="U522" s="132"/>
      <c r="V522" s="132"/>
      <c r="W522" s="132"/>
      <c r="X522" s="132"/>
      <c r="Y522" s="132"/>
      <c r="Z522" s="132"/>
      <c r="AA522" s="132"/>
      <c r="AB522" s="132"/>
      <c r="AC522" s="132"/>
      <c r="AD522" s="132"/>
      <c r="AE522" s="132"/>
      <c r="AF522" s="132"/>
      <c r="AG522" s="132"/>
      <c r="AH522" s="132"/>
      <c r="AI522" s="132"/>
      <c r="AJ522" s="132"/>
      <c r="AK522" s="132"/>
      <c r="AL522" s="132"/>
      <c r="AM522" s="132"/>
      <c r="AN522" s="132"/>
      <c r="AO522" s="132"/>
      <c r="AP522" s="132"/>
      <c r="AQ522" s="141"/>
      <c r="AR522" s="132"/>
      <c r="AS522" s="132"/>
      <c r="AT522" s="47"/>
      <c r="AU522" s="7"/>
      <c r="AV522" s="134"/>
      <c r="AW522" s="132"/>
      <c r="AX522" s="132"/>
      <c r="AY522" s="132"/>
      <c r="AZ522" s="132"/>
      <c r="BA522" s="10"/>
      <c r="BB522" s="134"/>
      <c r="BC522" s="132"/>
      <c r="BD522" s="132"/>
      <c r="BE522" s="132"/>
      <c r="BF522" s="132"/>
      <c r="BG522" s="11"/>
      <c r="BH522" s="134"/>
      <c r="BI522" s="132"/>
      <c r="BJ522" s="132"/>
      <c r="BK522" s="132"/>
      <c r="BL522" s="132"/>
    </row>
    <row r="523" customFormat="false" ht="13.8" hidden="false" customHeight="false" outlineLevel="0" collapsed="false">
      <c r="A523" s="140"/>
      <c r="B523" s="140"/>
      <c r="C523" s="168"/>
      <c r="D523" s="132"/>
      <c r="E523" s="132"/>
      <c r="F523" s="132"/>
      <c r="G523" s="132"/>
      <c r="H523" s="132"/>
      <c r="I523" s="132"/>
      <c r="J523" s="132"/>
      <c r="K523" s="132"/>
      <c r="L523" s="132"/>
      <c r="M523" s="132"/>
      <c r="N523" s="140"/>
      <c r="O523" s="132"/>
      <c r="P523" s="132"/>
      <c r="Q523" s="132"/>
      <c r="R523" s="132"/>
      <c r="S523" s="132"/>
      <c r="T523" s="132"/>
      <c r="U523" s="132"/>
      <c r="V523" s="132"/>
      <c r="W523" s="132"/>
      <c r="X523" s="132"/>
      <c r="Y523" s="132"/>
      <c r="Z523" s="132"/>
      <c r="AA523" s="132"/>
      <c r="AB523" s="132"/>
      <c r="AC523" s="132"/>
      <c r="AD523" s="132"/>
      <c r="AE523" s="132"/>
      <c r="AF523" s="132"/>
      <c r="AG523" s="132"/>
      <c r="AH523" s="132"/>
      <c r="AI523" s="132"/>
      <c r="AJ523" s="132"/>
      <c r="AK523" s="132"/>
      <c r="AL523" s="132"/>
      <c r="AM523" s="132"/>
      <c r="AN523" s="132"/>
      <c r="AO523" s="132"/>
      <c r="AP523" s="132"/>
      <c r="AQ523" s="141"/>
      <c r="AR523" s="132"/>
      <c r="AS523" s="132"/>
      <c r="AT523" s="47"/>
      <c r="AU523" s="7"/>
      <c r="AV523" s="134"/>
      <c r="AW523" s="132"/>
      <c r="AX523" s="132"/>
      <c r="AY523" s="132"/>
      <c r="AZ523" s="132"/>
      <c r="BA523" s="10"/>
      <c r="BB523" s="134"/>
      <c r="BC523" s="132"/>
      <c r="BD523" s="132"/>
      <c r="BE523" s="132"/>
      <c r="BF523" s="132"/>
      <c r="BG523" s="11"/>
      <c r="BH523" s="134"/>
      <c r="BI523" s="132"/>
      <c r="BJ523" s="132"/>
      <c r="BK523" s="132"/>
      <c r="BL523" s="132"/>
    </row>
    <row r="524" customFormat="false" ht="13.8" hidden="false" customHeight="false" outlineLevel="0" collapsed="false">
      <c r="A524" s="140"/>
      <c r="B524" s="140"/>
      <c r="C524" s="168"/>
      <c r="D524" s="132"/>
      <c r="E524" s="132"/>
      <c r="F524" s="132"/>
      <c r="G524" s="132"/>
      <c r="H524" s="132"/>
      <c r="I524" s="132"/>
      <c r="J524" s="132"/>
      <c r="K524" s="132"/>
      <c r="L524" s="132"/>
      <c r="M524" s="132"/>
      <c r="N524" s="140"/>
      <c r="O524" s="132"/>
      <c r="P524" s="132"/>
      <c r="Q524" s="132"/>
      <c r="R524" s="132"/>
      <c r="S524" s="132"/>
      <c r="T524" s="132"/>
      <c r="U524" s="132"/>
      <c r="V524" s="132"/>
      <c r="W524" s="132"/>
      <c r="X524" s="132"/>
      <c r="Y524" s="132"/>
      <c r="Z524" s="132"/>
      <c r="AA524" s="132"/>
      <c r="AB524" s="132"/>
      <c r="AC524" s="132"/>
      <c r="AD524" s="132"/>
      <c r="AE524" s="132"/>
      <c r="AF524" s="132"/>
      <c r="AG524" s="132"/>
      <c r="AH524" s="132"/>
      <c r="AI524" s="132"/>
      <c r="AJ524" s="132"/>
      <c r="AK524" s="132"/>
      <c r="AL524" s="132"/>
      <c r="AM524" s="132"/>
      <c r="AN524" s="132"/>
      <c r="AO524" s="132"/>
      <c r="AP524" s="132"/>
      <c r="AQ524" s="141"/>
      <c r="AR524" s="132"/>
      <c r="AS524" s="132"/>
      <c r="AT524" s="47"/>
      <c r="AU524" s="7"/>
      <c r="AV524" s="134"/>
      <c r="AW524" s="132"/>
      <c r="AX524" s="132"/>
      <c r="AY524" s="132"/>
      <c r="AZ524" s="132"/>
      <c r="BA524" s="10"/>
      <c r="BB524" s="134"/>
      <c r="BC524" s="132"/>
      <c r="BD524" s="132"/>
      <c r="BE524" s="132"/>
      <c r="BF524" s="132"/>
      <c r="BG524" s="11"/>
      <c r="BH524" s="134"/>
      <c r="BI524" s="132"/>
      <c r="BJ524" s="132"/>
      <c r="BK524" s="132"/>
      <c r="BL524" s="132"/>
    </row>
    <row r="525" customFormat="false" ht="13.8" hidden="false" customHeight="false" outlineLevel="0" collapsed="false">
      <c r="A525" s="140"/>
      <c r="B525" s="140"/>
      <c r="C525" s="168"/>
      <c r="D525" s="132"/>
      <c r="E525" s="132"/>
      <c r="F525" s="132"/>
      <c r="G525" s="132"/>
      <c r="H525" s="132"/>
      <c r="I525" s="132"/>
      <c r="J525" s="132"/>
      <c r="K525" s="132"/>
      <c r="L525" s="132"/>
      <c r="M525" s="132"/>
      <c r="N525" s="140"/>
      <c r="O525" s="132"/>
      <c r="P525" s="132"/>
      <c r="Q525" s="132"/>
      <c r="R525" s="132"/>
      <c r="S525" s="132"/>
      <c r="T525" s="132"/>
      <c r="U525" s="132"/>
      <c r="V525" s="132"/>
      <c r="W525" s="132"/>
      <c r="X525" s="132"/>
      <c r="Y525" s="132"/>
      <c r="Z525" s="132"/>
      <c r="AA525" s="132"/>
      <c r="AB525" s="132"/>
      <c r="AC525" s="132"/>
      <c r="AD525" s="132"/>
      <c r="AE525" s="132"/>
      <c r="AF525" s="132"/>
      <c r="AG525" s="132"/>
      <c r="AH525" s="132"/>
      <c r="AI525" s="132"/>
      <c r="AJ525" s="132"/>
      <c r="AK525" s="132"/>
      <c r="AL525" s="132"/>
      <c r="AM525" s="132"/>
      <c r="AN525" s="132"/>
      <c r="AO525" s="132"/>
      <c r="AP525" s="132"/>
      <c r="AQ525" s="141"/>
      <c r="AR525" s="132"/>
      <c r="AS525" s="132"/>
      <c r="AT525" s="47"/>
      <c r="AU525" s="7"/>
      <c r="AV525" s="134"/>
      <c r="AW525" s="132"/>
      <c r="AX525" s="132"/>
      <c r="AY525" s="132"/>
      <c r="AZ525" s="132"/>
      <c r="BA525" s="10"/>
      <c r="BB525" s="134"/>
      <c r="BC525" s="132"/>
      <c r="BD525" s="132"/>
      <c r="BE525" s="132"/>
      <c r="BF525" s="132"/>
      <c r="BG525" s="11"/>
      <c r="BH525" s="134"/>
      <c r="BI525" s="132"/>
      <c r="BJ525" s="132"/>
      <c r="BK525" s="132"/>
      <c r="BL525" s="132"/>
    </row>
    <row r="526" customFormat="false" ht="13.8" hidden="false" customHeight="false" outlineLevel="0" collapsed="false">
      <c r="A526" s="140"/>
      <c r="B526" s="140"/>
      <c r="C526" s="168"/>
      <c r="D526" s="132"/>
      <c r="E526" s="132"/>
      <c r="F526" s="132"/>
      <c r="G526" s="132"/>
      <c r="H526" s="132"/>
      <c r="I526" s="132"/>
      <c r="J526" s="132"/>
      <c r="K526" s="132"/>
      <c r="L526" s="132"/>
      <c r="M526" s="132"/>
      <c r="N526" s="140"/>
      <c r="O526" s="132"/>
      <c r="P526" s="132"/>
      <c r="Q526" s="132"/>
      <c r="R526" s="132"/>
      <c r="S526" s="132"/>
      <c r="T526" s="132"/>
      <c r="U526" s="132"/>
      <c r="V526" s="132"/>
      <c r="W526" s="132"/>
      <c r="X526" s="132"/>
      <c r="Y526" s="132"/>
      <c r="Z526" s="132"/>
      <c r="AA526" s="132"/>
      <c r="AB526" s="132"/>
      <c r="AC526" s="132"/>
      <c r="AD526" s="132"/>
      <c r="AE526" s="132"/>
      <c r="AF526" s="132"/>
      <c r="AG526" s="132"/>
      <c r="AH526" s="132"/>
      <c r="AI526" s="132"/>
      <c r="AJ526" s="132"/>
      <c r="AK526" s="132"/>
      <c r="AL526" s="132"/>
      <c r="AM526" s="132"/>
      <c r="AN526" s="132"/>
      <c r="AO526" s="132"/>
      <c r="AP526" s="132"/>
      <c r="AQ526" s="141"/>
      <c r="AR526" s="132"/>
      <c r="AS526" s="132"/>
      <c r="AT526" s="47"/>
      <c r="AU526" s="7"/>
      <c r="AV526" s="134"/>
      <c r="AW526" s="132"/>
      <c r="AX526" s="132"/>
      <c r="AY526" s="132"/>
      <c r="AZ526" s="132"/>
      <c r="BA526" s="10"/>
      <c r="BB526" s="134"/>
      <c r="BC526" s="132"/>
      <c r="BD526" s="132"/>
      <c r="BE526" s="132"/>
      <c r="BF526" s="132"/>
      <c r="BG526" s="11"/>
      <c r="BH526" s="134"/>
      <c r="BI526" s="132"/>
      <c r="BJ526" s="132"/>
      <c r="BK526" s="132"/>
      <c r="BL526" s="132"/>
    </row>
    <row r="527" customFormat="false" ht="13.8" hidden="false" customHeight="false" outlineLevel="0" collapsed="false">
      <c r="A527" s="140"/>
      <c r="B527" s="140"/>
      <c r="C527" s="168"/>
      <c r="D527" s="132"/>
      <c r="E527" s="132"/>
      <c r="F527" s="132"/>
      <c r="G527" s="132"/>
      <c r="H527" s="132"/>
      <c r="I527" s="132"/>
      <c r="J527" s="132"/>
      <c r="K527" s="132"/>
      <c r="L527" s="132"/>
      <c r="M527" s="132"/>
      <c r="N527" s="140"/>
      <c r="O527" s="132"/>
      <c r="P527" s="132"/>
      <c r="Q527" s="132"/>
      <c r="R527" s="132"/>
      <c r="S527" s="132"/>
      <c r="T527" s="132"/>
      <c r="U527" s="132"/>
      <c r="V527" s="132"/>
      <c r="W527" s="132"/>
      <c r="X527" s="132"/>
      <c r="Y527" s="132"/>
      <c r="Z527" s="132"/>
      <c r="AA527" s="132"/>
      <c r="AB527" s="132"/>
      <c r="AC527" s="132"/>
      <c r="AD527" s="132"/>
      <c r="AE527" s="132"/>
      <c r="AF527" s="132"/>
      <c r="AG527" s="132"/>
      <c r="AH527" s="132"/>
      <c r="AI527" s="132"/>
      <c r="AJ527" s="132"/>
      <c r="AK527" s="132"/>
      <c r="AL527" s="132"/>
      <c r="AM527" s="132"/>
      <c r="AN527" s="132"/>
      <c r="AO527" s="132"/>
      <c r="AP527" s="132"/>
      <c r="AQ527" s="141"/>
      <c r="AR527" s="132"/>
      <c r="AS527" s="132"/>
      <c r="AT527" s="47"/>
      <c r="AU527" s="7"/>
      <c r="AV527" s="134"/>
      <c r="AW527" s="132"/>
      <c r="AX527" s="132"/>
      <c r="AY527" s="132"/>
      <c r="AZ527" s="132"/>
      <c r="BA527" s="10"/>
      <c r="BB527" s="134"/>
      <c r="BC527" s="132"/>
      <c r="BD527" s="132"/>
      <c r="BE527" s="132"/>
      <c r="BF527" s="132"/>
      <c r="BG527" s="11"/>
      <c r="BH527" s="134"/>
      <c r="BI527" s="132"/>
      <c r="BJ527" s="132"/>
      <c r="BK527" s="132"/>
      <c r="BL527" s="132"/>
    </row>
    <row r="528" customFormat="false" ht="13.8" hidden="false" customHeight="false" outlineLevel="0" collapsed="false">
      <c r="A528" s="140"/>
      <c r="B528" s="140"/>
      <c r="C528" s="168"/>
      <c r="D528" s="132"/>
      <c r="E528" s="132"/>
      <c r="F528" s="132"/>
      <c r="G528" s="132"/>
      <c r="H528" s="132"/>
      <c r="I528" s="132"/>
      <c r="J528" s="132"/>
      <c r="K528" s="132"/>
      <c r="L528" s="132"/>
      <c r="M528" s="132"/>
      <c r="N528" s="140"/>
      <c r="O528" s="132"/>
      <c r="P528" s="132"/>
      <c r="Q528" s="132"/>
      <c r="R528" s="132"/>
      <c r="S528" s="132"/>
      <c r="T528" s="132"/>
      <c r="U528" s="132"/>
      <c r="V528" s="132"/>
      <c r="W528" s="132"/>
      <c r="X528" s="132"/>
      <c r="Y528" s="132"/>
      <c r="Z528" s="132"/>
      <c r="AA528" s="132"/>
      <c r="AB528" s="132"/>
      <c r="AC528" s="132"/>
      <c r="AD528" s="132"/>
      <c r="AE528" s="132"/>
      <c r="AF528" s="132"/>
      <c r="AG528" s="132"/>
      <c r="AH528" s="132"/>
      <c r="AI528" s="132"/>
      <c r="AJ528" s="132"/>
      <c r="AK528" s="132"/>
      <c r="AL528" s="132"/>
      <c r="AM528" s="132"/>
      <c r="AN528" s="132"/>
      <c r="AO528" s="132"/>
      <c r="AP528" s="132"/>
      <c r="AQ528" s="141"/>
      <c r="AR528" s="132"/>
      <c r="AS528" s="132"/>
      <c r="AT528" s="47"/>
      <c r="AU528" s="7"/>
      <c r="AV528" s="134"/>
      <c r="AW528" s="132"/>
      <c r="AX528" s="132"/>
      <c r="AY528" s="132"/>
      <c r="AZ528" s="132"/>
      <c r="BA528" s="10"/>
      <c r="BB528" s="134"/>
      <c r="BC528" s="132"/>
      <c r="BD528" s="132"/>
      <c r="BE528" s="132"/>
      <c r="BF528" s="132"/>
      <c r="BG528" s="11"/>
      <c r="BH528" s="134"/>
      <c r="BI528" s="132"/>
      <c r="BJ528" s="132"/>
      <c r="BK528" s="132"/>
      <c r="BL528" s="132"/>
    </row>
    <row r="529" customFormat="false" ht="13.8" hidden="false" customHeight="false" outlineLevel="0" collapsed="false">
      <c r="A529" s="140"/>
      <c r="B529" s="140"/>
      <c r="C529" s="168"/>
      <c r="D529" s="132"/>
      <c r="E529" s="132"/>
      <c r="F529" s="132"/>
      <c r="G529" s="132"/>
      <c r="H529" s="132"/>
      <c r="I529" s="132"/>
      <c r="J529" s="132"/>
      <c r="K529" s="132"/>
      <c r="L529" s="132"/>
      <c r="M529" s="132"/>
      <c r="N529" s="140"/>
      <c r="O529" s="132"/>
      <c r="P529" s="132"/>
      <c r="Q529" s="132"/>
      <c r="R529" s="132"/>
      <c r="S529" s="132"/>
      <c r="T529" s="132"/>
      <c r="U529" s="132"/>
      <c r="V529" s="132"/>
      <c r="W529" s="132"/>
      <c r="X529" s="132"/>
      <c r="Y529" s="132"/>
      <c r="Z529" s="132"/>
      <c r="AA529" s="132"/>
      <c r="AB529" s="132"/>
      <c r="AC529" s="132"/>
      <c r="AD529" s="132"/>
      <c r="AE529" s="132"/>
      <c r="AF529" s="132"/>
      <c r="AG529" s="132"/>
      <c r="AH529" s="132"/>
      <c r="AI529" s="132"/>
      <c r="AJ529" s="132"/>
      <c r="AK529" s="132"/>
      <c r="AL529" s="132"/>
      <c r="AM529" s="132"/>
      <c r="AN529" s="132"/>
      <c r="AO529" s="132"/>
      <c r="AP529" s="132"/>
      <c r="AQ529" s="141"/>
      <c r="AR529" s="132"/>
      <c r="AS529" s="132"/>
      <c r="AT529" s="47"/>
      <c r="AU529" s="7"/>
      <c r="AV529" s="134"/>
      <c r="AW529" s="132"/>
      <c r="AX529" s="132"/>
      <c r="AY529" s="132"/>
      <c r="AZ529" s="132"/>
      <c r="BA529" s="10"/>
      <c r="BB529" s="134"/>
      <c r="BC529" s="132"/>
      <c r="BD529" s="132"/>
      <c r="BE529" s="132"/>
      <c r="BF529" s="132"/>
      <c r="BG529" s="11"/>
      <c r="BH529" s="134"/>
      <c r="BI529" s="132"/>
      <c r="BJ529" s="132"/>
      <c r="BK529" s="132"/>
      <c r="BL529" s="132"/>
    </row>
    <row r="530" customFormat="false" ht="13.8" hidden="false" customHeight="false" outlineLevel="0" collapsed="false">
      <c r="A530" s="140"/>
      <c r="B530" s="140"/>
      <c r="C530" s="168"/>
      <c r="D530" s="132"/>
      <c r="E530" s="132"/>
      <c r="F530" s="132"/>
      <c r="G530" s="132"/>
      <c r="H530" s="132"/>
      <c r="I530" s="132"/>
      <c r="J530" s="132"/>
      <c r="K530" s="132"/>
      <c r="L530" s="132"/>
      <c r="M530" s="132"/>
      <c r="N530" s="140"/>
      <c r="O530" s="132"/>
      <c r="P530" s="132"/>
      <c r="Q530" s="132"/>
      <c r="R530" s="132"/>
      <c r="S530" s="132"/>
      <c r="T530" s="132"/>
      <c r="U530" s="132"/>
      <c r="V530" s="132"/>
      <c r="W530" s="132"/>
      <c r="X530" s="132"/>
      <c r="Y530" s="132"/>
      <c r="Z530" s="132"/>
      <c r="AA530" s="132"/>
      <c r="AB530" s="132"/>
      <c r="AC530" s="132"/>
      <c r="AD530" s="132"/>
      <c r="AE530" s="132"/>
      <c r="AF530" s="132"/>
      <c r="AG530" s="132"/>
      <c r="AH530" s="132"/>
      <c r="AI530" s="132"/>
      <c r="AJ530" s="132"/>
      <c r="AK530" s="132"/>
      <c r="AL530" s="132"/>
      <c r="AM530" s="132"/>
      <c r="AN530" s="132"/>
      <c r="AO530" s="132"/>
      <c r="AP530" s="132"/>
      <c r="AQ530" s="141"/>
      <c r="AR530" s="132"/>
      <c r="AS530" s="132"/>
      <c r="AT530" s="47"/>
      <c r="AU530" s="7"/>
      <c r="AV530" s="134"/>
      <c r="AW530" s="132"/>
      <c r="AX530" s="132"/>
      <c r="AY530" s="132"/>
      <c r="AZ530" s="132"/>
      <c r="BA530" s="10"/>
      <c r="BB530" s="134"/>
      <c r="BC530" s="132"/>
      <c r="BD530" s="132"/>
      <c r="BE530" s="132"/>
      <c r="BF530" s="132"/>
      <c r="BG530" s="11"/>
      <c r="BH530" s="134"/>
      <c r="BI530" s="132"/>
      <c r="BJ530" s="132"/>
      <c r="BK530" s="132"/>
      <c r="BL530" s="132"/>
    </row>
    <row r="531" customFormat="false" ht="13.8" hidden="false" customHeight="false" outlineLevel="0" collapsed="false">
      <c r="A531" s="140"/>
      <c r="B531" s="140"/>
      <c r="C531" s="168"/>
      <c r="D531" s="132"/>
      <c r="E531" s="132"/>
      <c r="F531" s="132"/>
      <c r="G531" s="132"/>
      <c r="H531" s="132"/>
      <c r="I531" s="132"/>
      <c r="J531" s="132"/>
      <c r="K531" s="132"/>
      <c r="L531" s="132"/>
      <c r="M531" s="132"/>
      <c r="N531" s="140"/>
      <c r="O531" s="132"/>
      <c r="P531" s="132"/>
      <c r="Q531" s="132"/>
      <c r="R531" s="132"/>
      <c r="S531" s="132"/>
      <c r="T531" s="132"/>
      <c r="U531" s="132"/>
      <c r="V531" s="132"/>
      <c r="W531" s="132"/>
      <c r="X531" s="132"/>
      <c r="Y531" s="132"/>
      <c r="Z531" s="132"/>
      <c r="AA531" s="132"/>
      <c r="AB531" s="132"/>
      <c r="AC531" s="132"/>
      <c r="AD531" s="132"/>
      <c r="AE531" s="132"/>
      <c r="AF531" s="132"/>
      <c r="AG531" s="132"/>
      <c r="AH531" s="132"/>
      <c r="AI531" s="132"/>
      <c r="AJ531" s="132"/>
      <c r="AK531" s="132"/>
      <c r="AL531" s="132"/>
      <c r="AM531" s="132"/>
      <c r="AN531" s="132"/>
      <c r="AO531" s="132"/>
      <c r="AP531" s="132"/>
      <c r="AQ531" s="141"/>
      <c r="AR531" s="132"/>
      <c r="AS531" s="132"/>
      <c r="AT531" s="47"/>
      <c r="AU531" s="7"/>
      <c r="AV531" s="134"/>
      <c r="AW531" s="132"/>
      <c r="AX531" s="132"/>
      <c r="AY531" s="132"/>
      <c r="AZ531" s="132"/>
      <c r="BA531" s="10"/>
      <c r="BB531" s="134"/>
      <c r="BC531" s="132"/>
      <c r="BD531" s="132"/>
      <c r="BE531" s="132"/>
      <c r="BF531" s="132"/>
      <c r="BG531" s="11"/>
      <c r="BH531" s="134"/>
      <c r="BI531" s="132"/>
      <c r="BJ531" s="132"/>
      <c r="BK531" s="132"/>
      <c r="BL531" s="132"/>
    </row>
    <row r="532" customFormat="false" ht="13.8" hidden="false" customHeight="false" outlineLevel="0" collapsed="false">
      <c r="A532" s="140"/>
      <c r="B532" s="140"/>
      <c r="C532" s="168"/>
      <c r="D532" s="132"/>
      <c r="E532" s="132"/>
      <c r="F532" s="132"/>
      <c r="G532" s="132"/>
      <c r="H532" s="132"/>
      <c r="I532" s="132"/>
      <c r="J532" s="132"/>
      <c r="K532" s="132"/>
      <c r="L532" s="132"/>
      <c r="M532" s="132"/>
      <c r="N532" s="140"/>
      <c r="O532" s="132"/>
      <c r="P532" s="132"/>
      <c r="Q532" s="132"/>
      <c r="R532" s="132"/>
      <c r="S532" s="132"/>
      <c r="T532" s="132"/>
      <c r="U532" s="132"/>
      <c r="V532" s="132"/>
      <c r="W532" s="132"/>
      <c r="X532" s="132"/>
      <c r="Y532" s="132"/>
      <c r="Z532" s="132"/>
      <c r="AA532" s="132"/>
      <c r="AB532" s="132"/>
      <c r="AC532" s="132"/>
      <c r="AD532" s="132"/>
      <c r="AE532" s="132"/>
      <c r="AF532" s="132"/>
      <c r="AG532" s="132"/>
      <c r="AH532" s="132"/>
      <c r="AI532" s="132"/>
      <c r="AJ532" s="132"/>
      <c r="AK532" s="132"/>
      <c r="AL532" s="132"/>
      <c r="AM532" s="132"/>
      <c r="AN532" s="132"/>
      <c r="AO532" s="132"/>
      <c r="AP532" s="132"/>
      <c r="AQ532" s="141"/>
      <c r="AR532" s="132"/>
      <c r="AS532" s="132"/>
      <c r="AT532" s="47"/>
      <c r="AU532" s="7"/>
      <c r="AV532" s="134"/>
      <c r="AW532" s="132"/>
      <c r="AX532" s="132"/>
      <c r="AY532" s="132"/>
      <c r="AZ532" s="132"/>
      <c r="BA532" s="10"/>
      <c r="BB532" s="134"/>
      <c r="BC532" s="132"/>
      <c r="BD532" s="132"/>
      <c r="BE532" s="132"/>
      <c r="BF532" s="132"/>
      <c r="BG532" s="11"/>
      <c r="BH532" s="134"/>
      <c r="BI532" s="132"/>
      <c r="BJ532" s="132"/>
      <c r="BK532" s="132"/>
      <c r="BL532" s="132"/>
    </row>
    <row r="533" customFormat="false" ht="13.8" hidden="false" customHeight="false" outlineLevel="0" collapsed="false">
      <c r="A533" s="140"/>
      <c r="B533" s="140"/>
      <c r="C533" s="168"/>
      <c r="D533" s="132"/>
      <c r="E533" s="132"/>
      <c r="F533" s="132"/>
      <c r="G533" s="132"/>
      <c r="H533" s="132"/>
      <c r="I533" s="132"/>
      <c r="J533" s="132"/>
      <c r="K533" s="132"/>
      <c r="L533" s="132"/>
      <c r="M533" s="132"/>
      <c r="N533" s="140"/>
      <c r="O533" s="132"/>
      <c r="P533" s="132"/>
      <c r="Q533" s="132"/>
      <c r="R533" s="132"/>
      <c r="S533" s="132"/>
      <c r="T533" s="132"/>
      <c r="U533" s="132"/>
      <c r="V533" s="132"/>
      <c r="W533" s="132"/>
      <c r="X533" s="132"/>
      <c r="Y533" s="132"/>
      <c r="Z533" s="132"/>
      <c r="AA533" s="132"/>
      <c r="AB533" s="132"/>
      <c r="AC533" s="132"/>
      <c r="AD533" s="132"/>
      <c r="AE533" s="132"/>
      <c r="AF533" s="132"/>
      <c r="AG533" s="132"/>
      <c r="AH533" s="132"/>
      <c r="AI533" s="132"/>
      <c r="AJ533" s="132"/>
      <c r="AK533" s="132"/>
      <c r="AL533" s="132"/>
      <c r="AM533" s="132"/>
      <c r="AN533" s="132"/>
      <c r="AO533" s="132"/>
      <c r="AP533" s="132"/>
      <c r="AQ533" s="141"/>
      <c r="AR533" s="132"/>
      <c r="AS533" s="132"/>
      <c r="AT533" s="47"/>
      <c r="AU533" s="7"/>
      <c r="AV533" s="134"/>
      <c r="AW533" s="132"/>
      <c r="AX533" s="132"/>
      <c r="AY533" s="132"/>
      <c r="AZ533" s="132"/>
      <c r="BA533" s="10"/>
      <c r="BB533" s="134"/>
      <c r="BC533" s="132"/>
      <c r="BD533" s="132"/>
      <c r="BE533" s="132"/>
      <c r="BF533" s="132"/>
      <c r="BG533" s="11"/>
      <c r="BH533" s="134"/>
      <c r="BI533" s="132"/>
      <c r="BJ533" s="132"/>
      <c r="BK533" s="132"/>
      <c r="BL533" s="132"/>
    </row>
    <row r="534" customFormat="false" ht="13.8" hidden="false" customHeight="false" outlineLevel="0" collapsed="false">
      <c r="A534" s="140"/>
      <c r="B534" s="140"/>
      <c r="C534" s="168"/>
      <c r="D534" s="132"/>
      <c r="E534" s="132"/>
      <c r="F534" s="132"/>
      <c r="G534" s="132"/>
      <c r="H534" s="132"/>
      <c r="I534" s="132"/>
      <c r="J534" s="132"/>
      <c r="K534" s="132"/>
      <c r="L534" s="132"/>
      <c r="M534" s="132"/>
      <c r="N534" s="140"/>
      <c r="O534" s="132"/>
      <c r="P534" s="132"/>
      <c r="Q534" s="132"/>
      <c r="R534" s="132"/>
      <c r="S534" s="132"/>
      <c r="T534" s="132"/>
      <c r="U534" s="132"/>
      <c r="V534" s="132"/>
      <c r="W534" s="132"/>
      <c r="X534" s="132"/>
      <c r="Y534" s="132"/>
      <c r="Z534" s="132"/>
      <c r="AA534" s="132"/>
      <c r="AB534" s="132"/>
      <c r="AC534" s="132"/>
      <c r="AD534" s="132"/>
      <c r="AE534" s="132"/>
      <c r="AF534" s="132"/>
      <c r="AG534" s="132"/>
      <c r="AH534" s="132"/>
      <c r="AI534" s="132"/>
      <c r="AJ534" s="132"/>
      <c r="AK534" s="132"/>
      <c r="AL534" s="132"/>
      <c r="AM534" s="132"/>
      <c r="AN534" s="132"/>
      <c r="AO534" s="132"/>
      <c r="AP534" s="132"/>
      <c r="AQ534" s="141"/>
      <c r="AR534" s="132"/>
      <c r="AS534" s="132"/>
      <c r="AT534" s="47"/>
      <c r="AU534" s="7"/>
      <c r="AV534" s="134"/>
      <c r="AW534" s="132"/>
      <c r="AX534" s="132"/>
      <c r="AY534" s="132"/>
      <c r="AZ534" s="132"/>
      <c r="BA534" s="10"/>
      <c r="BB534" s="134"/>
      <c r="BC534" s="132"/>
      <c r="BD534" s="132"/>
      <c r="BE534" s="132"/>
      <c r="BF534" s="132"/>
      <c r="BG534" s="11"/>
      <c r="BH534" s="134"/>
      <c r="BI534" s="132"/>
      <c r="BJ534" s="132"/>
      <c r="BK534" s="132"/>
      <c r="BL534" s="132"/>
    </row>
    <row r="535" customFormat="false" ht="13.8" hidden="false" customHeight="false" outlineLevel="0" collapsed="false">
      <c r="A535" s="140"/>
      <c r="B535" s="140"/>
      <c r="C535" s="168"/>
      <c r="D535" s="132"/>
      <c r="E535" s="132"/>
      <c r="F535" s="132"/>
      <c r="G535" s="132"/>
      <c r="H535" s="132"/>
      <c r="I535" s="132"/>
      <c r="J535" s="132"/>
      <c r="K535" s="132"/>
      <c r="L535" s="132"/>
      <c r="M535" s="132"/>
      <c r="N535" s="140"/>
      <c r="O535" s="132"/>
      <c r="P535" s="132"/>
      <c r="Q535" s="132"/>
      <c r="R535" s="132"/>
      <c r="S535" s="132"/>
      <c r="T535" s="132"/>
      <c r="U535" s="132"/>
      <c r="V535" s="132"/>
      <c r="W535" s="132"/>
      <c r="X535" s="132"/>
      <c r="Y535" s="132"/>
      <c r="Z535" s="132"/>
      <c r="AA535" s="132"/>
      <c r="AB535" s="132"/>
      <c r="AC535" s="132"/>
      <c r="AD535" s="132"/>
      <c r="AE535" s="132"/>
      <c r="AF535" s="132"/>
      <c r="AG535" s="132"/>
      <c r="AH535" s="132"/>
      <c r="AI535" s="132"/>
      <c r="AJ535" s="132"/>
      <c r="AK535" s="132"/>
      <c r="AL535" s="132"/>
      <c r="AM535" s="132"/>
      <c r="AN535" s="132"/>
      <c r="AO535" s="132"/>
      <c r="AP535" s="132"/>
      <c r="AQ535" s="141"/>
      <c r="AR535" s="132"/>
      <c r="AS535" s="132"/>
      <c r="AT535" s="47"/>
      <c r="AU535" s="7"/>
      <c r="AV535" s="134"/>
      <c r="AW535" s="132"/>
      <c r="AX535" s="132"/>
      <c r="AY535" s="132"/>
      <c r="AZ535" s="132"/>
      <c r="BA535" s="10"/>
      <c r="BB535" s="134"/>
      <c r="BC535" s="132"/>
      <c r="BD535" s="132"/>
      <c r="BE535" s="132"/>
      <c r="BF535" s="132"/>
      <c r="BG535" s="11"/>
      <c r="BH535" s="134"/>
      <c r="BI535" s="132"/>
      <c r="BJ535" s="132"/>
      <c r="BK535" s="132"/>
      <c r="BL535" s="132"/>
    </row>
    <row r="536" customFormat="false" ht="13.8" hidden="false" customHeight="false" outlineLevel="0" collapsed="false">
      <c r="A536" s="140"/>
      <c r="B536" s="140"/>
      <c r="C536" s="168"/>
      <c r="D536" s="132"/>
      <c r="E536" s="132"/>
      <c r="F536" s="132"/>
      <c r="G536" s="132"/>
      <c r="H536" s="132"/>
      <c r="I536" s="132"/>
      <c r="J536" s="132"/>
      <c r="K536" s="132"/>
      <c r="L536" s="132"/>
      <c r="M536" s="132"/>
      <c r="N536" s="140"/>
      <c r="O536" s="132"/>
      <c r="P536" s="132"/>
      <c r="Q536" s="132"/>
      <c r="R536" s="132"/>
      <c r="S536" s="132"/>
      <c r="T536" s="132"/>
      <c r="U536" s="132"/>
      <c r="V536" s="132"/>
      <c r="W536" s="132"/>
      <c r="X536" s="132"/>
      <c r="Y536" s="132"/>
      <c r="Z536" s="132"/>
      <c r="AA536" s="132"/>
      <c r="AB536" s="132"/>
      <c r="AC536" s="132"/>
      <c r="AD536" s="132"/>
      <c r="AE536" s="132"/>
      <c r="AF536" s="132"/>
      <c r="AG536" s="132"/>
      <c r="AH536" s="132"/>
      <c r="AI536" s="132"/>
      <c r="AJ536" s="132"/>
      <c r="AK536" s="132"/>
      <c r="AL536" s="132"/>
      <c r="AM536" s="132"/>
      <c r="AN536" s="132"/>
      <c r="AO536" s="132"/>
      <c r="AP536" s="132"/>
      <c r="AQ536" s="141"/>
      <c r="AR536" s="132"/>
      <c r="AS536" s="132"/>
      <c r="AT536" s="47"/>
      <c r="AU536" s="7"/>
      <c r="AV536" s="134"/>
      <c r="AW536" s="132"/>
      <c r="AX536" s="132"/>
      <c r="AY536" s="132"/>
      <c r="AZ536" s="132"/>
      <c r="BA536" s="10"/>
      <c r="BB536" s="134"/>
      <c r="BC536" s="132"/>
      <c r="BD536" s="132"/>
      <c r="BE536" s="132"/>
      <c r="BF536" s="132"/>
      <c r="BG536" s="11"/>
      <c r="BH536" s="134"/>
      <c r="BI536" s="132"/>
      <c r="BJ536" s="132"/>
      <c r="BK536" s="132"/>
      <c r="BL536" s="132"/>
    </row>
    <row r="537" customFormat="false" ht="13.8" hidden="false" customHeight="false" outlineLevel="0" collapsed="false">
      <c r="A537" s="140"/>
      <c r="B537" s="140"/>
      <c r="C537" s="168"/>
      <c r="D537" s="132"/>
      <c r="E537" s="132"/>
      <c r="F537" s="132"/>
      <c r="G537" s="132"/>
      <c r="H537" s="132"/>
      <c r="I537" s="132"/>
      <c r="J537" s="132"/>
      <c r="K537" s="132"/>
      <c r="L537" s="132"/>
      <c r="M537" s="132"/>
      <c r="N537" s="140"/>
      <c r="O537" s="132"/>
      <c r="P537" s="132"/>
      <c r="Q537" s="132"/>
      <c r="R537" s="132"/>
      <c r="S537" s="132"/>
      <c r="T537" s="132"/>
      <c r="U537" s="132"/>
      <c r="V537" s="132"/>
      <c r="W537" s="132"/>
      <c r="X537" s="132"/>
      <c r="Y537" s="132"/>
      <c r="Z537" s="132"/>
      <c r="AA537" s="132"/>
      <c r="AB537" s="132"/>
      <c r="AC537" s="132"/>
      <c r="AD537" s="132"/>
      <c r="AE537" s="132"/>
      <c r="AF537" s="132"/>
      <c r="AG537" s="132"/>
      <c r="AH537" s="132"/>
      <c r="AI537" s="132"/>
      <c r="AJ537" s="132"/>
      <c r="AK537" s="132"/>
      <c r="AL537" s="132"/>
      <c r="AM537" s="132"/>
      <c r="AN537" s="132"/>
      <c r="AO537" s="132"/>
      <c r="AP537" s="132"/>
      <c r="AQ537" s="141"/>
      <c r="AR537" s="132"/>
      <c r="AS537" s="132"/>
      <c r="AT537" s="47"/>
      <c r="AU537" s="7"/>
      <c r="AV537" s="134"/>
      <c r="AW537" s="132"/>
      <c r="AX537" s="132"/>
      <c r="AY537" s="132"/>
      <c r="AZ537" s="132"/>
      <c r="BA537" s="10"/>
      <c r="BB537" s="134"/>
      <c r="BC537" s="132"/>
      <c r="BD537" s="132"/>
      <c r="BE537" s="132"/>
      <c r="BF537" s="132"/>
      <c r="BG537" s="11"/>
      <c r="BH537" s="134"/>
      <c r="BI537" s="132"/>
      <c r="BJ537" s="132"/>
      <c r="BK537" s="132"/>
      <c r="BL537" s="132"/>
    </row>
    <row r="538" customFormat="false" ht="13.8" hidden="false" customHeight="false" outlineLevel="0" collapsed="false">
      <c r="A538" s="140"/>
      <c r="B538" s="140"/>
      <c r="C538" s="168"/>
      <c r="D538" s="132"/>
      <c r="E538" s="132"/>
      <c r="F538" s="132"/>
      <c r="G538" s="132"/>
      <c r="H538" s="132"/>
      <c r="I538" s="132"/>
      <c r="J538" s="132"/>
      <c r="K538" s="132"/>
      <c r="L538" s="132"/>
      <c r="M538" s="132"/>
      <c r="N538" s="140"/>
      <c r="O538" s="132"/>
      <c r="P538" s="132"/>
      <c r="Q538" s="132"/>
      <c r="R538" s="132"/>
      <c r="S538" s="132"/>
      <c r="T538" s="132"/>
      <c r="U538" s="132"/>
      <c r="V538" s="132"/>
      <c r="W538" s="132"/>
      <c r="X538" s="132"/>
      <c r="Y538" s="132"/>
      <c r="Z538" s="132"/>
      <c r="AA538" s="132"/>
      <c r="AB538" s="132"/>
      <c r="AC538" s="132"/>
      <c r="AD538" s="132"/>
      <c r="AE538" s="132"/>
      <c r="AF538" s="132"/>
      <c r="AG538" s="132"/>
      <c r="AH538" s="132"/>
      <c r="AI538" s="132"/>
      <c r="AJ538" s="132"/>
      <c r="AK538" s="132"/>
      <c r="AL538" s="132"/>
      <c r="AM538" s="132"/>
      <c r="AN538" s="132"/>
      <c r="AO538" s="132"/>
      <c r="AP538" s="132"/>
      <c r="AQ538" s="141"/>
      <c r="AR538" s="132"/>
      <c r="AS538" s="132"/>
      <c r="AT538" s="47"/>
      <c r="AU538" s="7"/>
      <c r="AV538" s="134"/>
      <c r="AW538" s="132"/>
      <c r="AX538" s="132"/>
      <c r="AY538" s="132"/>
      <c r="AZ538" s="132"/>
      <c r="BA538" s="10"/>
      <c r="BB538" s="134"/>
      <c r="BC538" s="132"/>
      <c r="BD538" s="132"/>
      <c r="BE538" s="132"/>
      <c r="BF538" s="132"/>
      <c r="BG538" s="11"/>
      <c r="BH538" s="134"/>
      <c r="BI538" s="132"/>
      <c r="BJ538" s="132"/>
      <c r="BK538" s="132"/>
      <c r="BL538" s="132"/>
    </row>
    <row r="539" customFormat="false" ht="13.8" hidden="false" customHeight="false" outlineLevel="0" collapsed="false">
      <c r="A539" s="140"/>
      <c r="B539" s="140"/>
      <c r="C539" s="168"/>
      <c r="D539" s="132"/>
      <c r="E539" s="132"/>
      <c r="F539" s="132"/>
      <c r="G539" s="132"/>
      <c r="H539" s="132"/>
      <c r="I539" s="132"/>
      <c r="J539" s="132"/>
      <c r="K539" s="132"/>
      <c r="L539" s="132"/>
      <c r="M539" s="132"/>
      <c r="N539" s="140"/>
      <c r="O539" s="132"/>
      <c r="P539" s="132"/>
      <c r="Q539" s="132"/>
      <c r="R539" s="132"/>
      <c r="S539" s="132"/>
      <c r="T539" s="132"/>
      <c r="U539" s="132"/>
      <c r="V539" s="132"/>
      <c r="W539" s="132"/>
      <c r="X539" s="132"/>
      <c r="Y539" s="132"/>
      <c r="Z539" s="132"/>
      <c r="AA539" s="132"/>
      <c r="AB539" s="132"/>
      <c r="AC539" s="132"/>
      <c r="AD539" s="132"/>
      <c r="AE539" s="132"/>
      <c r="AF539" s="132"/>
      <c r="AG539" s="132"/>
      <c r="AH539" s="132"/>
      <c r="AI539" s="132"/>
      <c r="AJ539" s="132"/>
      <c r="AK539" s="132"/>
      <c r="AL539" s="132"/>
      <c r="AM539" s="132"/>
      <c r="AN539" s="132"/>
      <c r="AO539" s="132"/>
      <c r="AP539" s="132"/>
      <c r="AQ539" s="141"/>
      <c r="AR539" s="132"/>
      <c r="AS539" s="132"/>
      <c r="AT539" s="47"/>
      <c r="AU539" s="7"/>
      <c r="AV539" s="134"/>
      <c r="AW539" s="132"/>
      <c r="AX539" s="132"/>
      <c r="AY539" s="132"/>
      <c r="AZ539" s="132"/>
      <c r="BA539" s="10"/>
      <c r="BB539" s="134"/>
      <c r="BC539" s="132"/>
      <c r="BD539" s="132"/>
      <c r="BE539" s="132"/>
      <c r="BF539" s="132"/>
      <c r="BG539" s="11"/>
      <c r="BH539" s="134"/>
      <c r="BI539" s="132"/>
      <c r="BJ539" s="132"/>
      <c r="BK539" s="132"/>
      <c r="BL539" s="132"/>
    </row>
    <row r="540" customFormat="false" ht="13.8" hidden="false" customHeight="false" outlineLevel="0" collapsed="false">
      <c r="A540" s="140"/>
      <c r="B540" s="140"/>
      <c r="C540" s="168"/>
      <c r="D540" s="132"/>
      <c r="E540" s="132"/>
      <c r="F540" s="132"/>
      <c r="G540" s="132"/>
      <c r="H540" s="132"/>
      <c r="I540" s="132"/>
      <c r="J540" s="132"/>
      <c r="K540" s="132"/>
      <c r="L540" s="132"/>
      <c r="M540" s="132"/>
      <c r="N540" s="140"/>
      <c r="O540" s="132"/>
      <c r="P540" s="132"/>
      <c r="Q540" s="132"/>
      <c r="R540" s="132"/>
      <c r="S540" s="132"/>
      <c r="T540" s="132"/>
      <c r="U540" s="132"/>
      <c r="V540" s="132"/>
      <c r="W540" s="132"/>
      <c r="X540" s="132"/>
      <c r="Y540" s="132"/>
      <c r="Z540" s="132"/>
      <c r="AA540" s="132"/>
      <c r="AB540" s="132"/>
      <c r="AC540" s="132"/>
      <c r="AD540" s="132"/>
      <c r="AE540" s="132"/>
      <c r="AF540" s="132"/>
      <c r="AG540" s="132"/>
      <c r="AH540" s="132"/>
      <c r="AI540" s="132"/>
      <c r="AJ540" s="132"/>
      <c r="AK540" s="132"/>
      <c r="AL540" s="132"/>
      <c r="AM540" s="132"/>
      <c r="AN540" s="132"/>
      <c r="AO540" s="132"/>
      <c r="AP540" s="132"/>
      <c r="AQ540" s="141"/>
      <c r="AR540" s="132"/>
      <c r="AS540" s="132"/>
      <c r="AT540" s="47"/>
      <c r="AU540" s="7"/>
      <c r="AV540" s="134"/>
      <c r="AW540" s="132"/>
      <c r="AX540" s="132"/>
      <c r="AY540" s="132"/>
      <c r="AZ540" s="132"/>
      <c r="BA540" s="10"/>
      <c r="BB540" s="134"/>
      <c r="BC540" s="132"/>
      <c r="BD540" s="132"/>
      <c r="BE540" s="132"/>
      <c r="BF540" s="132"/>
      <c r="BG540" s="11"/>
      <c r="BH540" s="134"/>
      <c r="BI540" s="132"/>
      <c r="BJ540" s="132"/>
      <c r="BK540" s="132"/>
      <c r="BL540" s="132"/>
    </row>
    <row r="541" customFormat="false" ht="13.8" hidden="false" customHeight="false" outlineLevel="0" collapsed="false">
      <c r="A541" s="140"/>
      <c r="B541" s="140"/>
      <c r="C541" s="168"/>
      <c r="D541" s="132"/>
      <c r="E541" s="132"/>
      <c r="F541" s="132"/>
      <c r="G541" s="132"/>
      <c r="H541" s="132"/>
      <c r="I541" s="132"/>
      <c r="J541" s="132"/>
      <c r="K541" s="132"/>
      <c r="L541" s="132"/>
      <c r="M541" s="132"/>
      <c r="N541" s="140"/>
      <c r="O541" s="132"/>
      <c r="P541" s="132"/>
      <c r="Q541" s="132"/>
      <c r="R541" s="132"/>
      <c r="S541" s="132"/>
      <c r="T541" s="132"/>
      <c r="U541" s="132"/>
      <c r="V541" s="132"/>
      <c r="W541" s="132"/>
      <c r="X541" s="132"/>
      <c r="Y541" s="132"/>
      <c r="Z541" s="132"/>
      <c r="AA541" s="132"/>
      <c r="AB541" s="132"/>
      <c r="AC541" s="132"/>
      <c r="AD541" s="132"/>
      <c r="AE541" s="132"/>
      <c r="AF541" s="132"/>
      <c r="AG541" s="132"/>
      <c r="AH541" s="132"/>
      <c r="AI541" s="132"/>
      <c r="AJ541" s="132"/>
      <c r="AK541" s="132"/>
      <c r="AL541" s="132"/>
      <c r="AM541" s="132"/>
      <c r="AN541" s="132"/>
      <c r="AO541" s="132"/>
      <c r="AP541" s="132"/>
      <c r="AQ541" s="141"/>
      <c r="AR541" s="132"/>
      <c r="AS541" s="132"/>
      <c r="AT541" s="47"/>
      <c r="AU541" s="7"/>
      <c r="AV541" s="134"/>
      <c r="AW541" s="132"/>
      <c r="AX541" s="132"/>
      <c r="AY541" s="132"/>
      <c r="AZ541" s="132"/>
      <c r="BA541" s="10"/>
      <c r="BB541" s="134"/>
      <c r="BC541" s="132"/>
      <c r="BD541" s="132"/>
      <c r="BE541" s="132"/>
      <c r="BF541" s="132"/>
      <c r="BG541" s="11"/>
      <c r="BH541" s="134"/>
      <c r="BI541" s="132"/>
      <c r="BJ541" s="132"/>
      <c r="BK541" s="132"/>
      <c r="BL541" s="132"/>
    </row>
    <row r="542" customFormat="false" ht="13.8" hidden="false" customHeight="false" outlineLevel="0" collapsed="false">
      <c r="A542" s="140"/>
      <c r="B542" s="140"/>
      <c r="C542" s="168"/>
      <c r="D542" s="132"/>
      <c r="E542" s="132"/>
      <c r="F542" s="132"/>
      <c r="G542" s="132"/>
      <c r="H542" s="132"/>
      <c r="I542" s="132"/>
      <c r="J542" s="132"/>
      <c r="K542" s="132"/>
      <c r="L542" s="132"/>
      <c r="M542" s="132"/>
      <c r="N542" s="140"/>
      <c r="O542" s="132"/>
      <c r="P542" s="132"/>
      <c r="Q542" s="132"/>
      <c r="R542" s="132"/>
      <c r="S542" s="132"/>
      <c r="T542" s="132"/>
      <c r="U542" s="132"/>
      <c r="V542" s="132"/>
      <c r="W542" s="132"/>
      <c r="X542" s="132"/>
      <c r="Y542" s="132"/>
      <c r="Z542" s="132"/>
      <c r="AA542" s="132"/>
      <c r="AB542" s="132"/>
      <c r="AC542" s="132"/>
      <c r="AD542" s="132"/>
      <c r="AE542" s="132"/>
      <c r="AF542" s="132"/>
      <c r="AG542" s="132"/>
      <c r="AH542" s="132"/>
      <c r="AI542" s="132"/>
      <c r="AJ542" s="132"/>
      <c r="AK542" s="132"/>
      <c r="AL542" s="132"/>
      <c r="AM542" s="132"/>
      <c r="AN542" s="132"/>
      <c r="AO542" s="132"/>
      <c r="AP542" s="132"/>
      <c r="AQ542" s="141"/>
      <c r="AR542" s="132"/>
      <c r="AS542" s="132"/>
      <c r="AT542" s="47"/>
      <c r="AU542" s="7"/>
      <c r="AV542" s="134"/>
      <c r="AW542" s="132"/>
      <c r="AX542" s="132"/>
      <c r="AY542" s="132"/>
      <c r="AZ542" s="132"/>
      <c r="BA542" s="10"/>
      <c r="BB542" s="134"/>
      <c r="BC542" s="132"/>
      <c r="BD542" s="132"/>
      <c r="BE542" s="132"/>
      <c r="BF542" s="132"/>
      <c r="BG542" s="11"/>
      <c r="BH542" s="134"/>
      <c r="BI542" s="132"/>
      <c r="BJ542" s="132"/>
      <c r="BK542" s="132"/>
      <c r="BL542" s="132"/>
    </row>
    <row r="543" customFormat="false" ht="13.8" hidden="false" customHeight="false" outlineLevel="0" collapsed="false">
      <c r="A543" s="140"/>
      <c r="B543" s="140"/>
      <c r="C543" s="168"/>
      <c r="D543" s="132"/>
      <c r="E543" s="132"/>
      <c r="F543" s="132"/>
      <c r="G543" s="132"/>
      <c r="H543" s="132"/>
      <c r="I543" s="132"/>
      <c r="J543" s="132"/>
      <c r="K543" s="132"/>
      <c r="L543" s="132"/>
      <c r="M543" s="132"/>
      <c r="N543" s="140"/>
      <c r="O543" s="132"/>
      <c r="P543" s="132"/>
      <c r="Q543" s="132"/>
      <c r="R543" s="132"/>
      <c r="S543" s="132"/>
      <c r="T543" s="132"/>
      <c r="U543" s="132"/>
      <c r="V543" s="132"/>
      <c r="W543" s="132"/>
      <c r="X543" s="132"/>
      <c r="Y543" s="132"/>
      <c r="Z543" s="132"/>
      <c r="AA543" s="132"/>
      <c r="AB543" s="132"/>
      <c r="AC543" s="132"/>
      <c r="AD543" s="132"/>
      <c r="AE543" s="132"/>
      <c r="AF543" s="132"/>
      <c r="AG543" s="132"/>
      <c r="AH543" s="132"/>
      <c r="AI543" s="132"/>
      <c r="AJ543" s="132"/>
      <c r="AK543" s="132"/>
      <c r="AL543" s="132"/>
      <c r="AM543" s="132"/>
      <c r="AN543" s="132"/>
      <c r="AO543" s="132"/>
      <c r="AP543" s="132"/>
      <c r="AQ543" s="141"/>
      <c r="AR543" s="132"/>
      <c r="AS543" s="132"/>
      <c r="AT543" s="47"/>
      <c r="AU543" s="7"/>
      <c r="AV543" s="134"/>
      <c r="AW543" s="132"/>
      <c r="AX543" s="132"/>
      <c r="AY543" s="132"/>
      <c r="AZ543" s="132"/>
      <c r="BA543" s="10"/>
      <c r="BB543" s="134"/>
      <c r="BC543" s="132"/>
      <c r="BD543" s="132"/>
      <c r="BE543" s="132"/>
      <c r="BF543" s="132"/>
      <c r="BG543" s="11"/>
      <c r="BH543" s="134"/>
      <c r="BI543" s="132"/>
      <c r="BJ543" s="132"/>
      <c r="BK543" s="132"/>
      <c r="BL543" s="132"/>
    </row>
    <row r="544" customFormat="false" ht="13.8" hidden="false" customHeight="false" outlineLevel="0" collapsed="false">
      <c r="A544" s="140"/>
      <c r="B544" s="140"/>
      <c r="C544" s="168"/>
      <c r="D544" s="132"/>
      <c r="E544" s="132"/>
      <c r="F544" s="132"/>
      <c r="G544" s="132"/>
      <c r="H544" s="132"/>
      <c r="I544" s="132"/>
      <c r="J544" s="132"/>
      <c r="K544" s="132"/>
      <c r="L544" s="132"/>
      <c r="M544" s="132"/>
      <c r="N544" s="140"/>
      <c r="O544" s="132"/>
      <c r="P544" s="132"/>
      <c r="Q544" s="132"/>
      <c r="R544" s="132"/>
      <c r="S544" s="132"/>
      <c r="T544" s="132"/>
      <c r="U544" s="132"/>
      <c r="V544" s="132"/>
      <c r="W544" s="132"/>
      <c r="X544" s="132"/>
      <c r="Y544" s="132"/>
      <c r="Z544" s="132"/>
      <c r="AA544" s="132"/>
      <c r="AB544" s="132"/>
      <c r="AC544" s="132"/>
      <c r="AD544" s="132"/>
      <c r="AE544" s="132"/>
      <c r="AF544" s="132"/>
      <c r="AG544" s="132"/>
      <c r="AH544" s="132"/>
      <c r="AI544" s="132"/>
      <c r="AJ544" s="132"/>
      <c r="AK544" s="132"/>
      <c r="AL544" s="132"/>
      <c r="AM544" s="132"/>
      <c r="AN544" s="132"/>
      <c r="AO544" s="132"/>
      <c r="AP544" s="132"/>
      <c r="AQ544" s="141"/>
      <c r="AR544" s="132"/>
      <c r="AS544" s="132"/>
      <c r="AT544" s="47"/>
      <c r="AU544" s="7"/>
      <c r="AV544" s="134"/>
      <c r="AW544" s="132"/>
      <c r="AX544" s="132"/>
      <c r="AY544" s="132"/>
      <c r="AZ544" s="132"/>
      <c r="BA544" s="10"/>
      <c r="BB544" s="134"/>
      <c r="BC544" s="132"/>
      <c r="BD544" s="132"/>
      <c r="BE544" s="132"/>
      <c r="BF544" s="132"/>
      <c r="BG544" s="11"/>
      <c r="BH544" s="134"/>
      <c r="BI544" s="132"/>
      <c r="BJ544" s="132"/>
      <c r="BK544" s="132"/>
      <c r="BL544" s="132"/>
    </row>
    <row r="545" customFormat="false" ht="13.8" hidden="false" customHeight="false" outlineLevel="0" collapsed="false">
      <c r="A545" s="140"/>
      <c r="B545" s="140"/>
      <c r="C545" s="168"/>
      <c r="D545" s="132"/>
      <c r="E545" s="132"/>
      <c r="F545" s="132"/>
      <c r="G545" s="132"/>
      <c r="H545" s="132"/>
      <c r="I545" s="132"/>
      <c r="J545" s="132"/>
      <c r="K545" s="132"/>
      <c r="L545" s="132"/>
      <c r="M545" s="132"/>
      <c r="N545" s="140"/>
      <c r="O545" s="132"/>
      <c r="P545" s="132"/>
      <c r="Q545" s="132"/>
      <c r="R545" s="132"/>
      <c r="S545" s="132"/>
      <c r="T545" s="132"/>
      <c r="U545" s="132"/>
      <c r="V545" s="132"/>
      <c r="W545" s="132"/>
      <c r="X545" s="132"/>
      <c r="Y545" s="132"/>
      <c r="Z545" s="132"/>
      <c r="AA545" s="132"/>
      <c r="AB545" s="132"/>
      <c r="AC545" s="132"/>
      <c r="AD545" s="132"/>
      <c r="AE545" s="132"/>
      <c r="AF545" s="132"/>
      <c r="AG545" s="132"/>
      <c r="AH545" s="132"/>
      <c r="AI545" s="132"/>
      <c r="AJ545" s="132"/>
      <c r="AK545" s="132"/>
      <c r="AL545" s="132"/>
      <c r="AM545" s="132"/>
      <c r="AN545" s="132"/>
      <c r="AO545" s="132"/>
      <c r="AP545" s="132"/>
      <c r="AQ545" s="141"/>
      <c r="AR545" s="132"/>
      <c r="AS545" s="132"/>
      <c r="AT545" s="47"/>
      <c r="AU545" s="7"/>
      <c r="AV545" s="134"/>
      <c r="AW545" s="132"/>
      <c r="AX545" s="132"/>
      <c r="AY545" s="132"/>
      <c r="AZ545" s="132"/>
      <c r="BA545" s="10"/>
      <c r="BB545" s="134"/>
      <c r="BC545" s="132"/>
      <c r="BD545" s="132"/>
      <c r="BE545" s="132"/>
      <c r="BF545" s="132"/>
      <c r="BG545" s="11"/>
      <c r="BH545" s="134"/>
      <c r="BI545" s="132"/>
      <c r="BJ545" s="132"/>
      <c r="BK545" s="132"/>
      <c r="BL545" s="132"/>
    </row>
    <row r="546" customFormat="false" ht="13.8" hidden="false" customHeight="false" outlineLevel="0" collapsed="false">
      <c r="A546" s="140"/>
      <c r="B546" s="140"/>
      <c r="C546" s="168"/>
      <c r="D546" s="132"/>
      <c r="E546" s="132"/>
      <c r="F546" s="132"/>
      <c r="G546" s="132"/>
      <c r="H546" s="132"/>
      <c r="I546" s="132"/>
      <c r="J546" s="132"/>
      <c r="K546" s="132"/>
      <c r="L546" s="132"/>
      <c r="M546" s="132"/>
      <c r="N546" s="140"/>
      <c r="O546" s="132"/>
      <c r="P546" s="132"/>
      <c r="Q546" s="132"/>
      <c r="R546" s="132"/>
      <c r="S546" s="132"/>
      <c r="T546" s="132"/>
      <c r="U546" s="132"/>
      <c r="V546" s="132"/>
      <c r="W546" s="132"/>
      <c r="X546" s="132"/>
      <c r="Y546" s="132"/>
      <c r="Z546" s="132"/>
      <c r="AA546" s="132"/>
      <c r="AB546" s="132"/>
      <c r="AC546" s="132"/>
      <c r="AD546" s="132"/>
      <c r="AE546" s="132"/>
      <c r="AF546" s="132"/>
      <c r="AG546" s="132"/>
      <c r="AH546" s="132"/>
      <c r="AI546" s="132"/>
      <c r="AJ546" s="132"/>
      <c r="AK546" s="132"/>
      <c r="AL546" s="132"/>
      <c r="AM546" s="132"/>
      <c r="AN546" s="132"/>
      <c r="AO546" s="132"/>
      <c r="AP546" s="132"/>
      <c r="AQ546" s="141"/>
      <c r="AR546" s="132"/>
      <c r="AS546" s="132"/>
      <c r="AT546" s="47"/>
      <c r="AU546" s="7"/>
      <c r="AV546" s="134"/>
      <c r="AW546" s="132"/>
      <c r="AX546" s="132"/>
      <c r="AY546" s="132"/>
      <c r="AZ546" s="132"/>
      <c r="BA546" s="10"/>
      <c r="BB546" s="134"/>
      <c r="BC546" s="132"/>
      <c r="BD546" s="132"/>
      <c r="BE546" s="132"/>
      <c r="BF546" s="132"/>
      <c r="BG546" s="11"/>
      <c r="BH546" s="134"/>
      <c r="BI546" s="132"/>
      <c r="BJ546" s="132"/>
      <c r="BK546" s="132"/>
      <c r="BL546" s="132"/>
    </row>
    <row r="547" customFormat="false" ht="13.8" hidden="false" customHeight="false" outlineLevel="0" collapsed="false">
      <c r="A547" s="140"/>
      <c r="B547" s="140"/>
      <c r="C547" s="168"/>
      <c r="D547" s="132"/>
      <c r="E547" s="132"/>
      <c r="F547" s="132"/>
      <c r="G547" s="132"/>
      <c r="H547" s="132"/>
      <c r="I547" s="132"/>
      <c r="J547" s="132"/>
      <c r="K547" s="132"/>
      <c r="L547" s="132"/>
      <c r="M547" s="132"/>
      <c r="N547" s="140"/>
      <c r="O547" s="132"/>
      <c r="P547" s="132"/>
      <c r="Q547" s="132"/>
      <c r="R547" s="132"/>
      <c r="S547" s="132"/>
      <c r="T547" s="132"/>
      <c r="U547" s="132"/>
      <c r="V547" s="132"/>
      <c r="W547" s="132"/>
      <c r="X547" s="132"/>
      <c r="Y547" s="132"/>
      <c r="Z547" s="132"/>
      <c r="AA547" s="132"/>
      <c r="AB547" s="132"/>
      <c r="AC547" s="132"/>
      <c r="AD547" s="132"/>
      <c r="AE547" s="132"/>
      <c r="AF547" s="132"/>
      <c r="AG547" s="132"/>
      <c r="AH547" s="132"/>
      <c r="AI547" s="132"/>
      <c r="AJ547" s="132"/>
      <c r="AK547" s="132"/>
      <c r="AL547" s="132"/>
      <c r="AM547" s="132"/>
      <c r="AN547" s="132"/>
      <c r="AO547" s="132"/>
      <c r="AP547" s="132"/>
      <c r="AQ547" s="141"/>
      <c r="AR547" s="132"/>
      <c r="AS547" s="132"/>
      <c r="AT547" s="47"/>
      <c r="AU547" s="7"/>
      <c r="AV547" s="134"/>
      <c r="AW547" s="132"/>
      <c r="AX547" s="132"/>
      <c r="AY547" s="132"/>
      <c r="AZ547" s="132"/>
      <c r="BA547" s="10"/>
      <c r="BB547" s="134"/>
      <c r="BC547" s="132"/>
      <c r="BD547" s="132"/>
      <c r="BE547" s="132"/>
      <c r="BF547" s="132"/>
      <c r="BG547" s="11"/>
      <c r="BH547" s="134"/>
      <c r="BI547" s="132"/>
      <c r="BJ547" s="132"/>
      <c r="BK547" s="132"/>
      <c r="BL547" s="132"/>
    </row>
    <row r="548" customFormat="false" ht="13.8" hidden="false" customHeight="false" outlineLevel="0" collapsed="false">
      <c r="A548" s="140"/>
      <c r="B548" s="140"/>
      <c r="C548" s="168"/>
      <c r="D548" s="132"/>
      <c r="E548" s="132"/>
      <c r="F548" s="132"/>
      <c r="G548" s="132"/>
      <c r="H548" s="132"/>
      <c r="I548" s="132"/>
      <c r="J548" s="132"/>
      <c r="K548" s="132"/>
      <c r="L548" s="132"/>
      <c r="M548" s="132"/>
      <c r="N548" s="140"/>
      <c r="O548" s="132"/>
      <c r="P548" s="132"/>
      <c r="Q548" s="132"/>
      <c r="R548" s="132"/>
      <c r="S548" s="132"/>
      <c r="T548" s="132"/>
      <c r="U548" s="132"/>
      <c r="V548" s="132"/>
      <c r="W548" s="132"/>
      <c r="X548" s="132"/>
      <c r="Y548" s="132"/>
      <c r="Z548" s="132"/>
      <c r="AA548" s="132"/>
      <c r="AB548" s="132"/>
      <c r="AC548" s="132"/>
      <c r="AD548" s="132"/>
      <c r="AE548" s="132"/>
      <c r="AF548" s="132"/>
      <c r="AG548" s="132"/>
      <c r="AH548" s="132"/>
      <c r="AI548" s="132"/>
      <c r="AJ548" s="132"/>
      <c r="AK548" s="132"/>
      <c r="AL548" s="132"/>
      <c r="AM548" s="132"/>
      <c r="AN548" s="132"/>
      <c r="AO548" s="132"/>
      <c r="AP548" s="132"/>
      <c r="AQ548" s="141"/>
      <c r="AR548" s="132"/>
      <c r="AS548" s="132"/>
      <c r="AT548" s="47"/>
      <c r="AU548" s="7"/>
      <c r="AV548" s="134"/>
      <c r="AW548" s="132"/>
      <c r="AX548" s="132"/>
      <c r="AY548" s="132"/>
      <c r="AZ548" s="132"/>
      <c r="BA548" s="10"/>
      <c r="BB548" s="134"/>
      <c r="BC548" s="132"/>
      <c r="BD548" s="132"/>
      <c r="BE548" s="132"/>
      <c r="BF548" s="132"/>
      <c r="BG548" s="11"/>
      <c r="BH548" s="134"/>
      <c r="BI548" s="132"/>
      <c r="BJ548" s="132"/>
      <c r="BK548" s="132"/>
      <c r="BL548" s="132"/>
    </row>
    <row r="549" customFormat="false" ht="13.8" hidden="false" customHeight="false" outlineLevel="0" collapsed="false">
      <c r="A549" s="140"/>
      <c r="B549" s="140"/>
      <c r="C549" s="168"/>
      <c r="D549" s="132"/>
      <c r="E549" s="132"/>
      <c r="F549" s="132"/>
      <c r="G549" s="132"/>
      <c r="H549" s="132"/>
      <c r="I549" s="132"/>
      <c r="J549" s="132"/>
      <c r="K549" s="132"/>
      <c r="L549" s="132"/>
      <c r="M549" s="132"/>
      <c r="N549" s="140"/>
      <c r="O549" s="132"/>
      <c r="P549" s="132"/>
      <c r="Q549" s="132"/>
      <c r="R549" s="132"/>
      <c r="S549" s="132"/>
      <c r="T549" s="132"/>
      <c r="U549" s="132"/>
      <c r="V549" s="132"/>
      <c r="W549" s="132"/>
      <c r="X549" s="132"/>
      <c r="Y549" s="132"/>
      <c r="Z549" s="132"/>
      <c r="AA549" s="132"/>
      <c r="AB549" s="132"/>
      <c r="AC549" s="132"/>
      <c r="AD549" s="132"/>
      <c r="AE549" s="132"/>
      <c r="AF549" s="132"/>
      <c r="AG549" s="132"/>
      <c r="AH549" s="132"/>
      <c r="AI549" s="132"/>
      <c r="AJ549" s="132"/>
      <c r="AK549" s="132"/>
      <c r="AL549" s="132"/>
      <c r="AM549" s="132"/>
      <c r="AN549" s="132"/>
      <c r="AO549" s="132"/>
      <c r="AP549" s="132"/>
      <c r="AQ549" s="141"/>
      <c r="AR549" s="132"/>
      <c r="AS549" s="132"/>
      <c r="AT549" s="47"/>
      <c r="AU549" s="7"/>
      <c r="AV549" s="134"/>
      <c r="AW549" s="132"/>
      <c r="AX549" s="132"/>
      <c r="AY549" s="132"/>
      <c r="AZ549" s="132"/>
      <c r="BA549" s="10"/>
      <c r="BB549" s="134"/>
      <c r="BC549" s="132"/>
      <c r="BD549" s="132"/>
      <c r="BE549" s="132"/>
      <c r="BF549" s="132"/>
      <c r="BG549" s="11"/>
      <c r="BH549" s="134"/>
      <c r="BI549" s="132"/>
      <c r="BJ549" s="132"/>
      <c r="BK549" s="132"/>
      <c r="BL549" s="132"/>
    </row>
    <row r="550" customFormat="false" ht="13.8" hidden="false" customHeight="false" outlineLevel="0" collapsed="false">
      <c r="A550" s="140"/>
      <c r="B550" s="140"/>
      <c r="C550" s="168"/>
      <c r="D550" s="132"/>
      <c r="E550" s="132"/>
      <c r="F550" s="132"/>
      <c r="G550" s="132"/>
      <c r="H550" s="132"/>
      <c r="I550" s="132"/>
      <c r="J550" s="132"/>
      <c r="K550" s="132"/>
      <c r="L550" s="132"/>
      <c r="M550" s="132"/>
      <c r="N550" s="140"/>
      <c r="O550" s="132"/>
      <c r="P550" s="132"/>
      <c r="Q550" s="132"/>
      <c r="R550" s="132"/>
      <c r="S550" s="132"/>
      <c r="T550" s="132"/>
      <c r="U550" s="132"/>
      <c r="V550" s="132"/>
      <c r="W550" s="132"/>
      <c r="X550" s="132"/>
      <c r="Y550" s="132"/>
      <c r="Z550" s="132"/>
      <c r="AA550" s="132"/>
      <c r="AB550" s="132"/>
      <c r="AC550" s="132"/>
      <c r="AD550" s="132"/>
      <c r="AE550" s="132"/>
      <c r="AF550" s="132"/>
      <c r="AG550" s="132"/>
      <c r="AH550" s="132"/>
      <c r="AI550" s="132"/>
      <c r="AJ550" s="132"/>
      <c r="AK550" s="132"/>
      <c r="AL550" s="132"/>
      <c r="AM550" s="132"/>
      <c r="AN550" s="132"/>
      <c r="AO550" s="132"/>
      <c r="AP550" s="132"/>
      <c r="AQ550" s="141"/>
      <c r="AR550" s="132"/>
      <c r="AS550" s="132"/>
      <c r="AT550" s="47"/>
      <c r="AU550" s="7"/>
      <c r="AV550" s="134"/>
      <c r="AW550" s="132"/>
      <c r="AX550" s="132"/>
      <c r="AY550" s="132"/>
      <c r="AZ550" s="132"/>
      <c r="BA550" s="10"/>
      <c r="BB550" s="134"/>
      <c r="BC550" s="132"/>
      <c r="BD550" s="132"/>
      <c r="BE550" s="132"/>
      <c r="BF550" s="132"/>
      <c r="BG550" s="11"/>
      <c r="BH550" s="134"/>
      <c r="BI550" s="132"/>
      <c r="BJ550" s="132"/>
      <c r="BK550" s="132"/>
      <c r="BL550" s="132"/>
    </row>
    <row r="551" customFormat="false" ht="13.8" hidden="false" customHeight="false" outlineLevel="0" collapsed="false">
      <c r="A551" s="140"/>
      <c r="B551" s="140"/>
      <c r="C551" s="168"/>
      <c r="D551" s="132"/>
      <c r="E551" s="132"/>
      <c r="F551" s="132"/>
      <c r="G551" s="132"/>
      <c r="H551" s="132"/>
      <c r="I551" s="132"/>
      <c r="J551" s="132"/>
      <c r="K551" s="132"/>
      <c r="L551" s="132"/>
      <c r="M551" s="132"/>
      <c r="N551" s="140"/>
      <c r="O551" s="132"/>
      <c r="P551" s="132"/>
      <c r="Q551" s="132"/>
      <c r="R551" s="132"/>
      <c r="S551" s="132"/>
      <c r="T551" s="132"/>
      <c r="U551" s="132"/>
      <c r="V551" s="132"/>
      <c r="W551" s="132"/>
      <c r="X551" s="132"/>
      <c r="Y551" s="132"/>
      <c r="Z551" s="132"/>
      <c r="AA551" s="132"/>
      <c r="AB551" s="132"/>
      <c r="AC551" s="132"/>
      <c r="AD551" s="132"/>
      <c r="AE551" s="132"/>
      <c r="AF551" s="132"/>
      <c r="AG551" s="132"/>
      <c r="AH551" s="132"/>
      <c r="AI551" s="132"/>
      <c r="AJ551" s="132"/>
      <c r="AK551" s="132"/>
      <c r="AL551" s="132"/>
      <c r="AM551" s="132"/>
      <c r="AN551" s="132"/>
      <c r="AO551" s="132"/>
      <c r="AP551" s="132"/>
      <c r="AQ551" s="141"/>
      <c r="AR551" s="132"/>
      <c r="AS551" s="132"/>
      <c r="AT551" s="47"/>
      <c r="AU551" s="7"/>
      <c r="AV551" s="134"/>
      <c r="AW551" s="132"/>
      <c r="AX551" s="132"/>
      <c r="AY551" s="132"/>
      <c r="AZ551" s="132"/>
      <c r="BA551" s="10"/>
      <c r="BB551" s="134"/>
      <c r="BC551" s="132"/>
      <c r="BD551" s="132"/>
      <c r="BE551" s="132"/>
      <c r="BF551" s="132"/>
      <c r="BG551" s="11"/>
      <c r="BH551" s="134"/>
      <c r="BI551" s="132"/>
      <c r="BJ551" s="132"/>
      <c r="BK551" s="132"/>
      <c r="BL551" s="132"/>
    </row>
    <row r="552" customFormat="false" ht="13.8" hidden="false" customHeight="false" outlineLevel="0" collapsed="false">
      <c r="A552" s="140"/>
      <c r="B552" s="140"/>
      <c r="C552" s="168"/>
      <c r="D552" s="132"/>
      <c r="E552" s="132"/>
      <c r="F552" s="132"/>
      <c r="G552" s="132"/>
      <c r="H552" s="132"/>
      <c r="I552" s="132"/>
      <c r="J552" s="132"/>
      <c r="K552" s="132"/>
      <c r="L552" s="132"/>
      <c r="M552" s="132"/>
      <c r="N552" s="140"/>
      <c r="O552" s="132"/>
      <c r="P552" s="132"/>
      <c r="Q552" s="132"/>
      <c r="R552" s="132"/>
      <c r="S552" s="132"/>
      <c r="T552" s="132"/>
      <c r="U552" s="132"/>
      <c r="V552" s="132"/>
      <c r="W552" s="132"/>
      <c r="X552" s="132"/>
      <c r="Y552" s="132"/>
      <c r="Z552" s="132"/>
      <c r="AA552" s="132"/>
      <c r="AB552" s="132"/>
      <c r="AC552" s="132"/>
      <c r="AD552" s="132"/>
      <c r="AE552" s="132"/>
      <c r="AF552" s="132"/>
      <c r="AG552" s="132"/>
      <c r="AH552" s="132"/>
      <c r="AI552" s="132"/>
      <c r="AJ552" s="132"/>
      <c r="AK552" s="132"/>
      <c r="AL552" s="132"/>
      <c r="AM552" s="132"/>
      <c r="AN552" s="132"/>
      <c r="AO552" s="132"/>
      <c r="AP552" s="132"/>
      <c r="AQ552" s="141"/>
      <c r="AR552" s="132"/>
      <c r="AS552" s="132"/>
      <c r="AT552" s="47"/>
      <c r="AU552" s="7"/>
      <c r="AV552" s="134"/>
      <c r="AW552" s="132"/>
      <c r="AX552" s="132"/>
      <c r="AY552" s="132"/>
      <c r="AZ552" s="132"/>
      <c r="BA552" s="10"/>
      <c r="BB552" s="134"/>
      <c r="BC552" s="132"/>
      <c r="BD552" s="132"/>
      <c r="BE552" s="132"/>
      <c r="BF552" s="132"/>
      <c r="BG552" s="11"/>
      <c r="BH552" s="134"/>
      <c r="BI552" s="132"/>
      <c r="BJ552" s="132"/>
      <c r="BK552" s="132"/>
      <c r="BL552" s="132"/>
    </row>
    <row r="553" customFormat="false" ht="13.8" hidden="false" customHeight="false" outlineLevel="0" collapsed="false">
      <c r="A553" s="140"/>
      <c r="B553" s="140"/>
      <c r="C553" s="168"/>
      <c r="D553" s="132"/>
      <c r="E553" s="132"/>
      <c r="F553" s="132"/>
      <c r="G553" s="132"/>
      <c r="H553" s="132"/>
      <c r="I553" s="132"/>
      <c r="J553" s="132"/>
      <c r="K553" s="132"/>
      <c r="L553" s="132"/>
      <c r="M553" s="132"/>
      <c r="N553" s="140"/>
      <c r="O553" s="132"/>
      <c r="P553" s="132"/>
      <c r="Q553" s="132"/>
      <c r="R553" s="132"/>
      <c r="S553" s="132"/>
      <c r="T553" s="132"/>
      <c r="U553" s="132"/>
      <c r="V553" s="132"/>
      <c r="W553" s="132"/>
      <c r="X553" s="132"/>
      <c r="Y553" s="132"/>
      <c r="Z553" s="132"/>
      <c r="AA553" s="132"/>
      <c r="AB553" s="132"/>
      <c r="AC553" s="132"/>
      <c r="AD553" s="132"/>
      <c r="AE553" s="132"/>
      <c r="AF553" s="132"/>
      <c r="AG553" s="132"/>
      <c r="AH553" s="132"/>
      <c r="AI553" s="132"/>
      <c r="AJ553" s="132"/>
      <c r="AK553" s="132"/>
      <c r="AL553" s="132"/>
      <c r="AM553" s="132"/>
      <c r="AN553" s="132"/>
      <c r="AO553" s="132"/>
      <c r="AP553" s="132"/>
      <c r="AQ553" s="141"/>
      <c r="AR553" s="132"/>
      <c r="AS553" s="132"/>
      <c r="AT553" s="47"/>
      <c r="AU553" s="7"/>
      <c r="AV553" s="134"/>
      <c r="AW553" s="132"/>
      <c r="AX553" s="132"/>
      <c r="AY553" s="132"/>
      <c r="AZ553" s="132"/>
      <c r="BA553" s="10"/>
      <c r="BB553" s="134"/>
      <c r="BC553" s="132"/>
      <c r="BD553" s="132"/>
      <c r="BE553" s="132"/>
      <c r="BF553" s="132"/>
      <c r="BG553" s="11"/>
      <c r="BH553" s="134"/>
      <c r="BI553" s="132"/>
      <c r="BJ553" s="132"/>
      <c r="BK553" s="132"/>
      <c r="BL553" s="132"/>
    </row>
    <row r="554" customFormat="false" ht="13.8" hidden="false" customHeight="false" outlineLevel="0" collapsed="false">
      <c r="A554" s="140"/>
      <c r="B554" s="140"/>
      <c r="C554" s="168"/>
      <c r="D554" s="132"/>
      <c r="E554" s="132"/>
      <c r="F554" s="132"/>
      <c r="G554" s="132"/>
      <c r="H554" s="132"/>
      <c r="I554" s="132"/>
      <c r="J554" s="132"/>
      <c r="K554" s="132"/>
      <c r="L554" s="132"/>
      <c r="M554" s="132"/>
      <c r="N554" s="140"/>
      <c r="O554" s="132"/>
      <c r="P554" s="132"/>
      <c r="Q554" s="132"/>
      <c r="R554" s="132"/>
      <c r="S554" s="132"/>
      <c r="T554" s="132"/>
      <c r="U554" s="132"/>
      <c r="V554" s="132"/>
      <c r="W554" s="132"/>
      <c r="X554" s="132"/>
      <c r="Y554" s="132"/>
      <c r="Z554" s="132"/>
      <c r="AA554" s="132"/>
      <c r="AB554" s="132"/>
      <c r="AC554" s="132"/>
      <c r="AD554" s="132"/>
      <c r="AE554" s="132"/>
      <c r="AF554" s="132"/>
      <c r="AG554" s="132"/>
      <c r="AH554" s="132"/>
      <c r="AI554" s="132"/>
      <c r="AJ554" s="132"/>
      <c r="AK554" s="132"/>
      <c r="AL554" s="132"/>
      <c r="AM554" s="132"/>
      <c r="AN554" s="132"/>
      <c r="AO554" s="132"/>
      <c r="AP554" s="132"/>
      <c r="AQ554" s="141"/>
      <c r="AR554" s="132"/>
      <c r="AS554" s="132"/>
      <c r="AT554" s="47"/>
      <c r="AU554" s="7"/>
      <c r="AV554" s="134"/>
      <c r="AW554" s="132"/>
      <c r="AX554" s="132"/>
      <c r="AY554" s="132"/>
      <c r="AZ554" s="132"/>
      <c r="BA554" s="10"/>
      <c r="BB554" s="134"/>
      <c r="BC554" s="132"/>
      <c r="BD554" s="132"/>
      <c r="BE554" s="132"/>
      <c r="BF554" s="132"/>
      <c r="BG554" s="11"/>
      <c r="BH554" s="134"/>
      <c r="BI554" s="132"/>
      <c r="BJ554" s="132"/>
      <c r="BK554" s="132"/>
      <c r="BL554" s="132"/>
    </row>
    <row r="555" customFormat="false" ht="13.8" hidden="false" customHeight="false" outlineLevel="0" collapsed="false">
      <c r="A555" s="140"/>
      <c r="B555" s="140"/>
      <c r="C555" s="168"/>
      <c r="D555" s="132"/>
      <c r="E555" s="132"/>
      <c r="F555" s="132"/>
      <c r="G555" s="132"/>
      <c r="H555" s="132"/>
      <c r="I555" s="132"/>
      <c r="J555" s="132"/>
      <c r="K555" s="132"/>
      <c r="L555" s="132"/>
      <c r="M555" s="132"/>
      <c r="N555" s="140"/>
      <c r="O555" s="132"/>
      <c r="P555" s="132"/>
      <c r="Q555" s="132"/>
      <c r="R555" s="132"/>
      <c r="S555" s="132"/>
      <c r="T555" s="132"/>
      <c r="U555" s="132"/>
      <c r="V555" s="132"/>
      <c r="W555" s="132"/>
      <c r="X555" s="132"/>
      <c r="Y555" s="132"/>
      <c r="Z555" s="132"/>
      <c r="AA555" s="132"/>
      <c r="AB555" s="132"/>
      <c r="AC555" s="132"/>
      <c r="AD555" s="132"/>
      <c r="AE555" s="132"/>
      <c r="AF555" s="132"/>
      <c r="AG555" s="132"/>
      <c r="AH555" s="132"/>
      <c r="AI555" s="132"/>
      <c r="AJ555" s="132"/>
      <c r="AK555" s="132"/>
      <c r="AL555" s="132"/>
      <c r="AM555" s="132"/>
      <c r="AN555" s="132"/>
      <c r="AO555" s="132"/>
      <c r="AP555" s="132"/>
      <c r="AQ555" s="141"/>
      <c r="AR555" s="132"/>
      <c r="AS555" s="132"/>
      <c r="AT555" s="47"/>
      <c r="AU555" s="7"/>
      <c r="AV555" s="134"/>
      <c r="AW555" s="132"/>
      <c r="AX555" s="132"/>
      <c r="AY555" s="132"/>
      <c r="AZ555" s="132"/>
      <c r="BA555" s="10"/>
      <c r="BB555" s="134"/>
      <c r="BC555" s="132"/>
      <c r="BD555" s="132"/>
      <c r="BE555" s="132"/>
      <c r="BF555" s="132"/>
      <c r="BG555" s="11"/>
      <c r="BH555" s="134"/>
      <c r="BI555" s="132"/>
      <c r="BJ555" s="132"/>
      <c r="BK555" s="132"/>
      <c r="BL555" s="132"/>
    </row>
    <row r="556" customFormat="false" ht="13.8" hidden="false" customHeight="false" outlineLevel="0" collapsed="false">
      <c r="A556" s="140"/>
      <c r="B556" s="140"/>
      <c r="C556" s="168"/>
      <c r="D556" s="132"/>
      <c r="E556" s="132"/>
      <c r="F556" s="132"/>
      <c r="G556" s="132"/>
      <c r="H556" s="132"/>
      <c r="I556" s="132"/>
      <c r="J556" s="132"/>
      <c r="K556" s="132"/>
      <c r="L556" s="132"/>
      <c r="M556" s="132"/>
      <c r="N556" s="140"/>
      <c r="O556" s="132"/>
      <c r="P556" s="132"/>
      <c r="Q556" s="132"/>
      <c r="R556" s="132"/>
      <c r="S556" s="132"/>
      <c r="T556" s="132"/>
      <c r="U556" s="132"/>
      <c r="V556" s="132"/>
      <c r="W556" s="132"/>
      <c r="X556" s="132"/>
      <c r="Y556" s="132"/>
      <c r="Z556" s="132"/>
      <c r="AA556" s="132"/>
      <c r="AB556" s="132"/>
      <c r="AC556" s="132"/>
      <c r="AD556" s="132"/>
      <c r="AE556" s="132"/>
      <c r="AF556" s="132"/>
      <c r="AG556" s="132"/>
      <c r="AH556" s="132"/>
      <c r="AI556" s="132"/>
      <c r="AJ556" s="132"/>
      <c r="AK556" s="132"/>
      <c r="AL556" s="132"/>
      <c r="AM556" s="132"/>
      <c r="AN556" s="132"/>
      <c r="AO556" s="132"/>
      <c r="AP556" s="132"/>
      <c r="AQ556" s="141"/>
      <c r="AR556" s="132"/>
      <c r="AS556" s="132"/>
      <c r="AT556" s="47"/>
      <c r="AU556" s="7"/>
      <c r="AV556" s="134"/>
      <c r="AW556" s="132"/>
      <c r="AX556" s="132"/>
      <c r="AY556" s="132"/>
      <c r="AZ556" s="132"/>
      <c r="BA556" s="10"/>
      <c r="BB556" s="134"/>
      <c r="BC556" s="132"/>
      <c r="BD556" s="132"/>
      <c r="BE556" s="132"/>
      <c r="BF556" s="132"/>
      <c r="BG556" s="11"/>
      <c r="BH556" s="134"/>
      <c r="BI556" s="132"/>
      <c r="BJ556" s="132"/>
      <c r="BK556" s="132"/>
      <c r="BL556" s="132"/>
    </row>
    <row r="557" customFormat="false" ht="13.8" hidden="false" customHeight="false" outlineLevel="0" collapsed="false">
      <c r="A557" s="140"/>
      <c r="B557" s="140"/>
      <c r="C557" s="168"/>
      <c r="D557" s="132"/>
      <c r="E557" s="132"/>
      <c r="F557" s="132"/>
      <c r="G557" s="132"/>
      <c r="H557" s="132"/>
      <c r="I557" s="132"/>
      <c r="J557" s="132"/>
      <c r="K557" s="132"/>
      <c r="L557" s="132"/>
      <c r="M557" s="132"/>
      <c r="N557" s="140"/>
      <c r="O557" s="132"/>
      <c r="P557" s="132"/>
      <c r="Q557" s="132"/>
      <c r="R557" s="132"/>
      <c r="S557" s="132"/>
      <c r="T557" s="132"/>
      <c r="U557" s="132"/>
      <c r="V557" s="132"/>
      <c r="W557" s="132"/>
      <c r="X557" s="132"/>
      <c r="Y557" s="132"/>
      <c r="Z557" s="132"/>
      <c r="AA557" s="132"/>
      <c r="AB557" s="132"/>
      <c r="AC557" s="132"/>
      <c r="AD557" s="132"/>
      <c r="AE557" s="132"/>
      <c r="AF557" s="132"/>
      <c r="AG557" s="132"/>
      <c r="AH557" s="132"/>
      <c r="AI557" s="132"/>
      <c r="AJ557" s="132"/>
      <c r="AK557" s="132"/>
      <c r="AL557" s="132"/>
      <c r="AM557" s="132"/>
      <c r="AN557" s="132"/>
      <c r="AO557" s="132"/>
      <c r="AP557" s="132"/>
      <c r="AQ557" s="141"/>
      <c r="AR557" s="132"/>
      <c r="AS557" s="132"/>
      <c r="AT557" s="47"/>
      <c r="AU557" s="7"/>
      <c r="AV557" s="134"/>
      <c r="AW557" s="132"/>
      <c r="AX557" s="132"/>
      <c r="AY557" s="132"/>
      <c r="AZ557" s="132"/>
      <c r="BA557" s="10"/>
      <c r="BB557" s="134"/>
      <c r="BC557" s="132"/>
      <c r="BD557" s="132"/>
      <c r="BE557" s="132"/>
      <c r="BF557" s="132"/>
      <c r="BG557" s="11"/>
      <c r="BH557" s="134"/>
      <c r="BI557" s="132"/>
      <c r="BJ557" s="132"/>
      <c r="BK557" s="132"/>
      <c r="BL557" s="132"/>
    </row>
    <row r="558" customFormat="false" ht="13.8" hidden="false" customHeight="false" outlineLevel="0" collapsed="false">
      <c r="A558" s="140"/>
      <c r="B558" s="140"/>
      <c r="C558" s="168"/>
      <c r="D558" s="132"/>
      <c r="E558" s="132"/>
      <c r="F558" s="132"/>
      <c r="G558" s="132"/>
      <c r="H558" s="132"/>
      <c r="I558" s="132"/>
      <c r="J558" s="132"/>
      <c r="K558" s="132"/>
      <c r="L558" s="132"/>
      <c r="M558" s="132"/>
      <c r="N558" s="140"/>
      <c r="O558" s="132"/>
      <c r="P558" s="132"/>
      <c r="Q558" s="132"/>
      <c r="R558" s="132"/>
      <c r="S558" s="132"/>
      <c r="T558" s="132"/>
      <c r="U558" s="132"/>
      <c r="V558" s="132"/>
      <c r="W558" s="132"/>
      <c r="X558" s="132"/>
      <c r="Y558" s="132"/>
      <c r="Z558" s="132"/>
      <c r="AA558" s="132"/>
      <c r="AB558" s="132"/>
      <c r="AC558" s="132"/>
      <c r="AD558" s="132"/>
      <c r="AE558" s="132"/>
      <c r="AF558" s="132"/>
      <c r="AG558" s="132"/>
      <c r="AH558" s="132"/>
      <c r="AI558" s="132"/>
      <c r="AJ558" s="132"/>
      <c r="AK558" s="132"/>
      <c r="AL558" s="132"/>
      <c r="AM558" s="132"/>
      <c r="AN558" s="132"/>
      <c r="AO558" s="132"/>
      <c r="AP558" s="132"/>
      <c r="AQ558" s="141"/>
      <c r="AR558" s="132"/>
      <c r="AS558" s="132"/>
      <c r="AT558" s="47"/>
      <c r="AU558" s="7"/>
      <c r="AV558" s="134"/>
      <c r="AW558" s="132"/>
      <c r="AX558" s="132"/>
      <c r="AY558" s="132"/>
      <c r="AZ558" s="132"/>
      <c r="BA558" s="10"/>
      <c r="BB558" s="134"/>
      <c r="BC558" s="132"/>
      <c r="BD558" s="132"/>
      <c r="BE558" s="132"/>
      <c r="BF558" s="132"/>
      <c r="BG558" s="11"/>
      <c r="BH558" s="134"/>
      <c r="BI558" s="132"/>
      <c r="BJ558" s="132"/>
      <c r="BK558" s="132"/>
      <c r="BL558" s="132"/>
    </row>
    <row r="559" customFormat="false" ht="13.8" hidden="false" customHeight="false" outlineLevel="0" collapsed="false">
      <c r="A559" s="140"/>
      <c r="B559" s="140"/>
      <c r="C559" s="168"/>
      <c r="D559" s="132"/>
      <c r="E559" s="132"/>
      <c r="F559" s="132"/>
      <c r="G559" s="132"/>
      <c r="H559" s="132"/>
      <c r="I559" s="132"/>
      <c r="J559" s="132"/>
      <c r="K559" s="132"/>
      <c r="L559" s="132"/>
      <c r="M559" s="132"/>
      <c r="N559" s="140"/>
      <c r="O559" s="132"/>
      <c r="P559" s="132"/>
      <c r="Q559" s="132"/>
      <c r="R559" s="132"/>
      <c r="S559" s="132"/>
      <c r="T559" s="132"/>
      <c r="U559" s="132"/>
      <c r="V559" s="132"/>
      <c r="W559" s="132"/>
      <c r="X559" s="132"/>
      <c r="Y559" s="132"/>
      <c r="Z559" s="132"/>
      <c r="AA559" s="132"/>
      <c r="AB559" s="132"/>
      <c r="AC559" s="132"/>
      <c r="AD559" s="132"/>
      <c r="AE559" s="132"/>
      <c r="AF559" s="132"/>
      <c r="AG559" s="132"/>
      <c r="AH559" s="132"/>
      <c r="AI559" s="132"/>
      <c r="AJ559" s="132"/>
      <c r="AK559" s="132"/>
      <c r="AL559" s="132"/>
      <c r="AM559" s="132"/>
      <c r="AN559" s="132"/>
      <c r="AO559" s="132"/>
      <c r="AP559" s="132"/>
      <c r="AQ559" s="141"/>
      <c r="AR559" s="132"/>
      <c r="AS559" s="132"/>
      <c r="AT559" s="47"/>
      <c r="AU559" s="7"/>
      <c r="AV559" s="134"/>
      <c r="AW559" s="132"/>
      <c r="AX559" s="132"/>
      <c r="AY559" s="132"/>
      <c r="AZ559" s="132"/>
      <c r="BA559" s="10"/>
      <c r="BB559" s="134"/>
      <c r="BC559" s="132"/>
      <c r="BD559" s="132"/>
      <c r="BE559" s="132"/>
      <c r="BF559" s="132"/>
      <c r="BG559" s="11"/>
      <c r="BH559" s="134"/>
      <c r="BI559" s="132"/>
      <c r="BJ559" s="132"/>
      <c r="BK559" s="132"/>
      <c r="BL559" s="132"/>
    </row>
    <row r="560" customFormat="false" ht="13.8" hidden="false" customHeight="false" outlineLevel="0" collapsed="false">
      <c r="A560" s="140"/>
      <c r="B560" s="140"/>
      <c r="C560" s="168"/>
      <c r="D560" s="132"/>
      <c r="E560" s="132"/>
      <c r="F560" s="132"/>
      <c r="G560" s="132"/>
      <c r="H560" s="132"/>
      <c r="I560" s="132"/>
      <c r="J560" s="132"/>
      <c r="K560" s="132"/>
      <c r="L560" s="132"/>
      <c r="M560" s="132"/>
      <c r="N560" s="140"/>
      <c r="O560" s="132"/>
      <c r="P560" s="132"/>
      <c r="Q560" s="132"/>
      <c r="R560" s="132"/>
      <c r="S560" s="132"/>
      <c r="T560" s="132"/>
      <c r="U560" s="132"/>
      <c r="V560" s="132"/>
      <c r="W560" s="132"/>
      <c r="X560" s="132"/>
      <c r="Y560" s="132"/>
      <c r="Z560" s="132"/>
      <c r="AA560" s="132"/>
      <c r="AB560" s="132"/>
      <c r="AC560" s="132"/>
      <c r="AD560" s="132"/>
      <c r="AE560" s="132"/>
      <c r="AF560" s="132"/>
      <c r="AG560" s="132"/>
      <c r="AH560" s="132"/>
      <c r="AI560" s="132"/>
      <c r="AJ560" s="132"/>
      <c r="AK560" s="132"/>
      <c r="AL560" s="132"/>
      <c r="AM560" s="132"/>
      <c r="AN560" s="132"/>
      <c r="AO560" s="132"/>
      <c r="AP560" s="132"/>
      <c r="AQ560" s="141"/>
      <c r="AR560" s="132"/>
      <c r="AS560" s="132"/>
      <c r="AT560" s="47"/>
      <c r="AU560" s="7"/>
      <c r="AV560" s="134"/>
      <c r="AW560" s="132"/>
      <c r="AX560" s="132"/>
      <c r="AY560" s="132"/>
      <c r="AZ560" s="132"/>
      <c r="BA560" s="10"/>
      <c r="BB560" s="134"/>
      <c r="BC560" s="132"/>
      <c r="BD560" s="132"/>
      <c r="BE560" s="132"/>
      <c r="BF560" s="132"/>
      <c r="BG560" s="11"/>
      <c r="BH560" s="134"/>
      <c r="BI560" s="132"/>
      <c r="BJ560" s="132"/>
      <c r="BK560" s="132"/>
      <c r="BL560" s="132"/>
    </row>
    <row r="561" customFormat="false" ht="13.8" hidden="false" customHeight="false" outlineLevel="0" collapsed="false">
      <c r="A561" s="140"/>
      <c r="B561" s="140"/>
      <c r="C561" s="168"/>
      <c r="D561" s="132"/>
      <c r="E561" s="132"/>
      <c r="F561" s="132"/>
      <c r="G561" s="132"/>
      <c r="H561" s="132"/>
      <c r="I561" s="132"/>
      <c r="J561" s="132"/>
      <c r="K561" s="132"/>
      <c r="L561" s="132"/>
      <c r="M561" s="132"/>
      <c r="N561" s="140"/>
      <c r="O561" s="132"/>
      <c r="P561" s="132"/>
      <c r="Q561" s="132"/>
      <c r="R561" s="132"/>
      <c r="S561" s="132"/>
      <c r="T561" s="132"/>
      <c r="U561" s="132"/>
      <c r="V561" s="132"/>
      <c r="W561" s="132"/>
      <c r="X561" s="132"/>
      <c r="Y561" s="132"/>
      <c r="Z561" s="132"/>
      <c r="AA561" s="132"/>
      <c r="AB561" s="132"/>
      <c r="AC561" s="132"/>
      <c r="AD561" s="132"/>
      <c r="AE561" s="132"/>
      <c r="AF561" s="132"/>
      <c r="AG561" s="132"/>
      <c r="AH561" s="132"/>
      <c r="AI561" s="132"/>
      <c r="AJ561" s="132"/>
      <c r="AK561" s="132"/>
      <c r="AL561" s="132"/>
      <c r="AM561" s="132"/>
      <c r="AN561" s="132"/>
      <c r="AO561" s="132"/>
      <c r="AP561" s="132"/>
      <c r="AQ561" s="141"/>
      <c r="AR561" s="132"/>
      <c r="AS561" s="132"/>
      <c r="AT561" s="47"/>
      <c r="AU561" s="7"/>
      <c r="AV561" s="134"/>
      <c r="AW561" s="132"/>
      <c r="AX561" s="132"/>
      <c r="AY561" s="132"/>
      <c r="AZ561" s="132"/>
      <c r="BA561" s="10"/>
      <c r="BB561" s="134"/>
      <c r="BC561" s="132"/>
      <c r="BD561" s="132"/>
      <c r="BE561" s="132"/>
      <c r="BF561" s="132"/>
      <c r="BG561" s="11"/>
      <c r="BH561" s="134"/>
      <c r="BI561" s="132"/>
      <c r="BJ561" s="132"/>
      <c r="BK561" s="132"/>
      <c r="BL561" s="132"/>
    </row>
    <row r="562" customFormat="false" ht="13.8" hidden="false" customHeight="false" outlineLevel="0" collapsed="false">
      <c r="A562" s="140"/>
      <c r="B562" s="140"/>
      <c r="C562" s="168"/>
      <c r="D562" s="132"/>
      <c r="E562" s="132"/>
      <c r="F562" s="132"/>
      <c r="G562" s="132"/>
      <c r="H562" s="132"/>
      <c r="I562" s="132"/>
      <c r="J562" s="132"/>
      <c r="K562" s="132"/>
      <c r="L562" s="132"/>
      <c r="M562" s="132"/>
      <c r="N562" s="140"/>
      <c r="O562" s="132"/>
      <c r="P562" s="132"/>
      <c r="Q562" s="132"/>
      <c r="R562" s="132"/>
      <c r="S562" s="132"/>
      <c r="T562" s="132"/>
      <c r="U562" s="132"/>
      <c r="V562" s="132"/>
      <c r="W562" s="132"/>
      <c r="X562" s="132"/>
      <c r="Y562" s="132"/>
      <c r="Z562" s="132"/>
      <c r="AA562" s="132"/>
      <c r="AB562" s="132"/>
      <c r="AC562" s="132"/>
      <c r="AD562" s="132"/>
      <c r="AE562" s="132"/>
      <c r="AF562" s="132"/>
      <c r="AG562" s="132"/>
      <c r="AH562" s="132"/>
      <c r="AI562" s="132"/>
      <c r="AJ562" s="132"/>
      <c r="AK562" s="132"/>
      <c r="AL562" s="132"/>
      <c r="AM562" s="132"/>
      <c r="AN562" s="132"/>
      <c r="AO562" s="132"/>
      <c r="AP562" s="132"/>
      <c r="AQ562" s="141"/>
      <c r="AR562" s="132"/>
      <c r="AS562" s="132"/>
      <c r="AT562" s="47"/>
      <c r="AU562" s="7"/>
      <c r="AV562" s="134"/>
      <c r="AW562" s="132"/>
      <c r="AX562" s="132"/>
      <c r="AY562" s="132"/>
      <c r="AZ562" s="132"/>
      <c r="BA562" s="10"/>
      <c r="BB562" s="134"/>
      <c r="BC562" s="132"/>
      <c r="BD562" s="132"/>
      <c r="BE562" s="132"/>
      <c r="BF562" s="132"/>
      <c r="BG562" s="11"/>
      <c r="BH562" s="134"/>
      <c r="BI562" s="132"/>
      <c r="BJ562" s="132"/>
      <c r="BK562" s="132"/>
      <c r="BL562" s="132"/>
    </row>
    <row r="563" customFormat="false" ht="13.8" hidden="false" customHeight="false" outlineLevel="0" collapsed="false">
      <c r="A563" s="140"/>
      <c r="B563" s="140"/>
      <c r="C563" s="168"/>
      <c r="D563" s="132"/>
      <c r="E563" s="132"/>
      <c r="F563" s="132"/>
      <c r="G563" s="132"/>
      <c r="H563" s="132"/>
      <c r="I563" s="132"/>
      <c r="J563" s="132"/>
      <c r="K563" s="132"/>
      <c r="L563" s="132"/>
      <c r="M563" s="132"/>
      <c r="N563" s="140"/>
      <c r="O563" s="132"/>
      <c r="P563" s="132"/>
      <c r="Q563" s="132"/>
      <c r="R563" s="132"/>
      <c r="S563" s="132"/>
      <c r="T563" s="132"/>
      <c r="U563" s="132"/>
      <c r="V563" s="132"/>
      <c r="W563" s="132"/>
      <c r="X563" s="132"/>
      <c r="Y563" s="132"/>
      <c r="Z563" s="132"/>
      <c r="AA563" s="132"/>
      <c r="AB563" s="132"/>
      <c r="AC563" s="132"/>
      <c r="AD563" s="132"/>
      <c r="AE563" s="132"/>
      <c r="AF563" s="132"/>
      <c r="AG563" s="132"/>
      <c r="AH563" s="132"/>
      <c r="AI563" s="132"/>
      <c r="AJ563" s="132"/>
      <c r="AK563" s="132"/>
      <c r="AL563" s="132"/>
      <c r="AM563" s="132"/>
      <c r="AN563" s="132"/>
      <c r="AO563" s="132"/>
      <c r="AP563" s="132"/>
      <c r="AQ563" s="141"/>
      <c r="AR563" s="132"/>
      <c r="AS563" s="132"/>
      <c r="AT563" s="47"/>
      <c r="AU563" s="7"/>
      <c r="AV563" s="134"/>
      <c r="AW563" s="132"/>
      <c r="AX563" s="132"/>
      <c r="AY563" s="132"/>
      <c r="AZ563" s="132"/>
      <c r="BA563" s="10"/>
      <c r="BB563" s="134"/>
      <c r="BC563" s="132"/>
      <c r="BD563" s="132"/>
      <c r="BE563" s="132"/>
      <c r="BF563" s="132"/>
      <c r="BG563" s="11"/>
      <c r="BH563" s="134"/>
      <c r="BI563" s="132"/>
      <c r="BJ563" s="132"/>
      <c r="BK563" s="132"/>
      <c r="BL563" s="132"/>
    </row>
    <row r="564" customFormat="false" ht="13.8" hidden="false" customHeight="false" outlineLevel="0" collapsed="false">
      <c r="A564" s="140"/>
      <c r="B564" s="140"/>
      <c r="C564" s="168"/>
      <c r="D564" s="132"/>
      <c r="E564" s="132"/>
      <c r="F564" s="132"/>
      <c r="G564" s="132"/>
      <c r="H564" s="132"/>
      <c r="I564" s="132"/>
      <c r="J564" s="132"/>
      <c r="K564" s="132"/>
      <c r="L564" s="132"/>
      <c r="M564" s="132"/>
      <c r="N564" s="140"/>
      <c r="O564" s="132"/>
      <c r="P564" s="132"/>
      <c r="Q564" s="132"/>
      <c r="R564" s="132"/>
      <c r="S564" s="132"/>
      <c r="T564" s="132"/>
      <c r="U564" s="132"/>
      <c r="V564" s="132"/>
      <c r="W564" s="132"/>
      <c r="X564" s="132"/>
      <c r="Y564" s="132"/>
      <c r="Z564" s="132"/>
      <c r="AA564" s="132"/>
      <c r="AB564" s="132"/>
      <c r="AC564" s="132"/>
      <c r="AD564" s="132"/>
      <c r="AE564" s="132"/>
      <c r="AF564" s="132"/>
      <c r="AG564" s="132"/>
      <c r="AH564" s="132"/>
      <c r="AI564" s="132"/>
      <c r="AJ564" s="132"/>
      <c r="AK564" s="132"/>
      <c r="AL564" s="132"/>
      <c r="AM564" s="132"/>
      <c r="AN564" s="132"/>
      <c r="AO564" s="132"/>
      <c r="AP564" s="132"/>
      <c r="AQ564" s="141"/>
      <c r="AR564" s="132"/>
      <c r="AS564" s="132"/>
      <c r="AT564" s="47"/>
      <c r="AU564" s="7"/>
      <c r="AV564" s="134"/>
      <c r="AW564" s="132"/>
      <c r="AX564" s="132"/>
      <c r="AY564" s="132"/>
      <c r="AZ564" s="132"/>
      <c r="BA564" s="10"/>
      <c r="BB564" s="134"/>
      <c r="BC564" s="132"/>
      <c r="BD564" s="132"/>
      <c r="BE564" s="132"/>
      <c r="BF564" s="132"/>
      <c r="BG564" s="11"/>
      <c r="BH564" s="134"/>
      <c r="BI564" s="132"/>
      <c r="BJ564" s="132"/>
      <c r="BK564" s="132"/>
      <c r="BL564" s="132"/>
    </row>
    <row r="565" customFormat="false" ht="13.8" hidden="false" customHeight="false" outlineLevel="0" collapsed="false">
      <c r="A565" s="140"/>
      <c r="B565" s="140"/>
      <c r="C565" s="168"/>
      <c r="D565" s="132"/>
      <c r="E565" s="132"/>
      <c r="F565" s="132"/>
      <c r="G565" s="132"/>
      <c r="H565" s="132"/>
      <c r="I565" s="132"/>
      <c r="J565" s="132"/>
      <c r="K565" s="132"/>
      <c r="L565" s="132"/>
      <c r="M565" s="132"/>
      <c r="N565" s="140"/>
      <c r="O565" s="132"/>
      <c r="P565" s="132"/>
      <c r="Q565" s="132"/>
      <c r="R565" s="132"/>
      <c r="S565" s="132"/>
      <c r="T565" s="132"/>
      <c r="U565" s="132"/>
      <c r="V565" s="132"/>
      <c r="W565" s="132"/>
      <c r="X565" s="132"/>
      <c r="Y565" s="132"/>
      <c r="Z565" s="132"/>
      <c r="AA565" s="132"/>
      <c r="AB565" s="132"/>
      <c r="AC565" s="132"/>
      <c r="AD565" s="132"/>
      <c r="AE565" s="132"/>
      <c r="AF565" s="132"/>
      <c r="AG565" s="132"/>
      <c r="AH565" s="132"/>
      <c r="AI565" s="132"/>
      <c r="AJ565" s="132"/>
      <c r="AK565" s="132"/>
      <c r="AL565" s="132"/>
      <c r="AM565" s="132"/>
      <c r="AN565" s="132"/>
      <c r="AO565" s="132"/>
      <c r="AP565" s="132"/>
      <c r="AQ565" s="141"/>
      <c r="AR565" s="132"/>
      <c r="AS565" s="132"/>
      <c r="AT565" s="47"/>
      <c r="AU565" s="7"/>
      <c r="AV565" s="134"/>
      <c r="AW565" s="132"/>
      <c r="AX565" s="132"/>
      <c r="AY565" s="132"/>
      <c r="AZ565" s="132"/>
      <c r="BA565" s="10"/>
      <c r="BB565" s="134"/>
      <c r="BC565" s="132"/>
      <c r="BD565" s="132"/>
      <c r="BE565" s="132"/>
      <c r="BF565" s="132"/>
      <c r="BG565" s="11"/>
      <c r="BH565" s="134"/>
      <c r="BI565" s="132"/>
      <c r="BJ565" s="132"/>
      <c r="BK565" s="132"/>
      <c r="BL565" s="132"/>
    </row>
    <row r="566" customFormat="false" ht="13.8" hidden="false" customHeight="false" outlineLevel="0" collapsed="false">
      <c r="A566" s="140"/>
      <c r="B566" s="140"/>
      <c r="C566" s="168"/>
      <c r="D566" s="132"/>
      <c r="E566" s="132"/>
      <c r="F566" s="132"/>
      <c r="G566" s="132"/>
      <c r="H566" s="132"/>
      <c r="I566" s="132"/>
      <c r="J566" s="132"/>
      <c r="K566" s="132"/>
      <c r="L566" s="132"/>
      <c r="M566" s="132"/>
      <c r="N566" s="140"/>
      <c r="O566" s="132"/>
      <c r="P566" s="132"/>
      <c r="Q566" s="132"/>
      <c r="R566" s="132"/>
      <c r="S566" s="132"/>
      <c r="T566" s="132"/>
      <c r="U566" s="132"/>
      <c r="V566" s="132"/>
      <c r="W566" s="132"/>
      <c r="X566" s="132"/>
      <c r="Y566" s="132"/>
      <c r="Z566" s="132"/>
      <c r="AA566" s="132"/>
      <c r="AB566" s="132"/>
      <c r="AC566" s="132"/>
      <c r="AD566" s="132"/>
      <c r="AE566" s="132"/>
      <c r="AF566" s="132"/>
      <c r="AG566" s="132"/>
      <c r="AH566" s="132"/>
      <c r="AI566" s="132"/>
      <c r="AJ566" s="132"/>
      <c r="AK566" s="132"/>
      <c r="AL566" s="132"/>
      <c r="AM566" s="132"/>
      <c r="AN566" s="132"/>
      <c r="AO566" s="132"/>
      <c r="AP566" s="132"/>
      <c r="AQ566" s="141"/>
      <c r="AR566" s="132"/>
      <c r="AS566" s="132"/>
      <c r="AT566" s="47"/>
      <c r="AU566" s="7"/>
      <c r="AV566" s="134"/>
      <c r="AW566" s="132"/>
      <c r="AX566" s="132"/>
      <c r="AY566" s="132"/>
      <c r="AZ566" s="132"/>
      <c r="BA566" s="10"/>
      <c r="BB566" s="134"/>
      <c r="BC566" s="132"/>
      <c r="BD566" s="132"/>
      <c r="BE566" s="132"/>
      <c r="BF566" s="132"/>
      <c r="BG566" s="11"/>
      <c r="BH566" s="134"/>
      <c r="BI566" s="132"/>
      <c r="BJ566" s="132"/>
      <c r="BK566" s="132"/>
      <c r="BL566" s="132"/>
    </row>
    <row r="567" customFormat="false" ht="13.8" hidden="false" customHeight="false" outlineLevel="0" collapsed="false">
      <c r="A567" s="140"/>
      <c r="B567" s="140"/>
      <c r="C567" s="168"/>
      <c r="D567" s="132"/>
      <c r="E567" s="132"/>
      <c r="F567" s="132"/>
      <c r="G567" s="132"/>
      <c r="H567" s="132"/>
      <c r="I567" s="132"/>
      <c r="J567" s="132"/>
      <c r="K567" s="132"/>
      <c r="L567" s="132"/>
      <c r="M567" s="132"/>
      <c r="N567" s="140"/>
      <c r="O567" s="132"/>
      <c r="P567" s="132"/>
      <c r="Q567" s="132"/>
      <c r="R567" s="132"/>
      <c r="S567" s="132"/>
      <c r="T567" s="132"/>
      <c r="U567" s="132"/>
      <c r="V567" s="132"/>
      <c r="W567" s="132"/>
      <c r="X567" s="132"/>
      <c r="Y567" s="132"/>
      <c r="Z567" s="132"/>
      <c r="AA567" s="132"/>
      <c r="AB567" s="132"/>
      <c r="AC567" s="132"/>
      <c r="AD567" s="132"/>
      <c r="AE567" s="132"/>
      <c r="AF567" s="132"/>
      <c r="AG567" s="132"/>
      <c r="AH567" s="132"/>
      <c r="AI567" s="132"/>
      <c r="AJ567" s="132"/>
      <c r="AK567" s="132"/>
      <c r="AL567" s="132"/>
      <c r="AM567" s="132"/>
      <c r="AN567" s="132"/>
      <c r="AO567" s="132"/>
      <c r="AP567" s="132"/>
      <c r="AQ567" s="141"/>
      <c r="AR567" s="132"/>
      <c r="AS567" s="132"/>
      <c r="AT567" s="47"/>
      <c r="AU567" s="7"/>
      <c r="AV567" s="134"/>
      <c r="AW567" s="132"/>
      <c r="AX567" s="132"/>
      <c r="AY567" s="132"/>
      <c r="AZ567" s="132"/>
      <c r="BA567" s="10"/>
      <c r="BB567" s="134"/>
      <c r="BC567" s="132"/>
      <c r="BD567" s="132"/>
      <c r="BE567" s="132"/>
      <c r="BF567" s="132"/>
      <c r="BG567" s="11"/>
      <c r="BH567" s="134"/>
      <c r="BI567" s="132"/>
      <c r="BJ567" s="132"/>
      <c r="BK567" s="132"/>
      <c r="BL567" s="132"/>
    </row>
    <row r="568" customFormat="false" ht="13.8" hidden="false" customHeight="false" outlineLevel="0" collapsed="false">
      <c r="A568" s="140"/>
      <c r="B568" s="140"/>
      <c r="C568" s="168"/>
      <c r="D568" s="132"/>
      <c r="E568" s="132"/>
      <c r="F568" s="132"/>
      <c r="G568" s="132"/>
      <c r="H568" s="132"/>
      <c r="I568" s="132"/>
      <c r="J568" s="132"/>
      <c r="K568" s="132"/>
      <c r="L568" s="132"/>
      <c r="M568" s="132"/>
      <c r="N568" s="140"/>
      <c r="O568" s="132"/>
      <c r="P568" s="132"/>
      <c r="Q568" s="132"/>
      <c r="R568" s="132"/>
      <c r="S568" s="132"/>
      <c r="T568" s="132"/>
      <c r="U568" s="132"/>
      <c r="V568" s="132"/>
      <c r="W568" s="132"/>
      <c r="X568" s="132"/>
      <c r="Y568" s="132"/>
      <c r="Z568" s="132"/>
      <c r="AA568" s="132"/>
      <c r="AB568" s="132"/>
      <c r="AC568" s="132"/>
      <c r="AD568" s="132"/>
      <c r="AE568" s="132"/>
      <c r="AF568" s="132"/>
      <c r="AG568" s="132"/>
      <c r="AH568" s="132"/>
      <c r="AI568" s="132"/>
      <c r="AJ568" s="132"/>
      <c r="AK568" s="132"/>
      <c r="AL568" s="132"/>
      <c r="AM568" s="132"/>
      <c r="AN568" s="132"/>
      <c r="AO568" s="132"/>
      <c r="AP568" s="132"/>
      <c r="AQ568" s="141"/>
      <c r="AR568" s="132"/>
      <c r="AS568" s="132"/>
      <c r="AT568" s="47"/>
      <c r="AU568" s="7"/>
      <c r="AV568" s="134"/>
      <c r="AW568" s="132"/>
      <c r="AX568" s="132"/>
      <c r="AY568" s="132"/>
      <c r="AZ568" s="132"/>
      <c r="BA568" s="10"/>
      <c r="BB568" s="134"/>
      <c r="BC568" s="132"/>
      <c r="BD568" s="132"/>
      <c r="BE568" s="132"/>
      <c r="BF568" s="132"/>
      <c r="BG568" s="11"/>
      <c r="BH568" s="134"/>
      <c r="BI568" s="132"/>
      <c r="BJ568" s="132"/>
      <c r="BK568" s="132"/>
      <c r="BL568" s="132"/>
    </row>
    <row r="569" customFormat="false" ht="13.8" hidden="false" customHeight="false" outlineLevel="0" collapsed="false">
      <c r="A569" s="140"/>
      <c r="B569" s="140"/>
      <c r="C569" s="168"/>
      <c r="D569" s="132"/>
      <c r="E569" s="132"/>
      <c r="F569" s="132"/>
      <c r="G569" s="132"/>
      <c r="H569" s="132"/>
      <c r="I569" s="132"/>
      <c r="J569" s="132"/>
      <c r="K569" s="132"/>
      <c r="L569" s="132"/>
      <c r="M569" s="132"/>
      <c r="N569" s="140"/>
      <c r="O569" s="132"/>
      <c r="P569" s="132"/>
      <c r="Q569" s="132"/>
      <c r="R569" s="132"/>
      <c r="S569" s="132"/>
      <c r="T569" s="132"/>
      <c r="U569" s="132"/>
      <c r="V569" s="132"/>
      <c r="W569" s="132"/>
      <c r="X569" s="132"/>
      <c r="Y569" s="132"/>
      <c r="Z569" s="132"/>
      <c r="AA569" s="132"/>
      <c r="AB569" s="132"/>
      <c r="AC569" s="132"/>
      <c r="AD569" s="132"/>
      <c r="AE569" s="132"/>
      <c r="AF569" s="132"/>
      <c r="AG569" s="132"/>
      <c r="AH569" s="132"/>
      <c r="AI569" s="132"/>
      <c r="AJ569" s="132"/>
      <c r="AK569" s="132"/>
      <c r="AL569" s="132"/>
      <c r="AM569" s="132"/>
      <c r="AN569" s="132"/>
      <c r="AO569" s="132"/>
      <c r="AP569" s="132"/>
      <c r="AQ569" s="141"/>
      <c r="AR569" s="132"/>
      <c r="AS569" s="132"/>
      <c r="AT569" s="47"/>
      <c r="AU569" s="7"/>
      <c r="AV569" s="134"/>
      <c r="AW569" s="132"/>
      <c r="AX569" s="132"/>
      <c r="AY569" s="132"/>
      <c r="AZ569" s="132"/>
      <c r="BA569" s="10"/>
      <c r="BB569" s="134"/>
      <c r="BC569" s="132"/>
      <c r="BD569" s="132"/>
      <c r="BE569" s="132"/>
      <c r="BF569" s="132"/>
      <c r="BG569" s="11"/>
      <c r="BH569" s="134"/>
      <c r="BI569" s="132"/>
      <c r="BJ569" s="132"/>
      <c r="BK569" s="132"/>
      <c r="BL569" s="132"/>
    </row>
    <row r="570" customFormat="false" ht="13.8" hidden="false" customHeight="false" outlineLevel="0" collapsed="false">
      <c r="A570" s="140"/>
      <c r="B570" s="140"/>
      <c r="C570" s="168"/>
      <c r="D570" s="132"/>
      <c r="E570" s="132"/>
      <c r="F570" s="132"/>
      <c r="G570" s="132"/>
      <c r="H570" s="132"/>
      <c r="I570" s="132"/>
      <c r="J570" s="132"/>
      <c r="K570" s="132"/>
      <c r="L570" s="132"/>
      <c r="M570" s="132"/>
      <c r="N570" s="140"/>
      <c r="O570" s="132"/>
      <c r="P570" s="132"/>
      <c r="Q570" s="132"/>
      <c r="R570" s="132"/>
      <c r="S570" s="132"/>
      <c r="T570" s="132"/>
      <c r="U570" s="132"/>
      <c r="V570" s="132"/>
      <c r="W570" s="132"/>
      <c r="X570" s="132"/>
      <c r="Y570" s="132"/>
      <c r="Z570" s="132"/>
      <c r="AA570" s="132"/>
      <c r="AB570" s="132"/>
      <c r="AC570" s="132"/>
      <c r="AD570" s="132"/>
      <c r="AE570" s="132"/>
      <c r="AF570" s="132"/>
      <c r="AG570" s="132"/>
      <c r="AH570" s="132"/>
      <c r="AI570" s="132"/>
      <c r="AJ570" s="132"/>
      <c r="AK570" s="132"/>
      <c r="AL570" s="132"/>
      <c r="AM570" s="132"/>
      <c r="AN570" s="132"/>
      <c r="AO570" s="132"/>
      <c r="AP570" s="132"/>
      <c r="AQ570" s="141"/>
      <c r="AR570" s="132"/>
      <c r="AS570" s="132"/>
      <c r="AT570" s="47"/>
      <c r="AU570" s="7"/>
      <c r="AV570" s="134"/>
      <c r="AW570" s="132"/>
      <c r="AX570" s="132"/>
      <c r="AY570" s="132"/>
      <c r="AZ570" s="132"/>
      <c r="BA570" s="10"/>
      <c r="BB570" s="134"/>
      <c r="BC570" s="132"/>
      <c r="BD570" s="132"/>
      <c r="BE570" s="132"/>
      <c r="BF570" s="132"/>
      <c r="BG570" s="11"/>
      <c r="BH570" s="134"/>
      <c r="BI570" s="132"/>
      <c r="BJ570" s="132"/>
      <c r="BK570" s="132"/>
      <c r="BL570" s="132"/>
    </row>
    <row r="571" customFormat="false" ht="13.8" hidden="false" customHeight="false" outlineLevel="0" collapsed="false">
      <c r="A571" s="140"/>
      <c r="B571" s="140"/>
      <c r="C571" s="168"/>
      <c r="D571" s="132"/>
      <c r="E571" s="132"/>
      <c r="F571" s="132"/>
      <c r="G571" s="132"/>
      <c r="H571" s="132"/>
      <c r="I571" s="132"/>
      <c r="J571" s="132"/>
      <c r="K571" s="132"/>
      <c r="L571" s="132"/>
      <c r="M571" s="132"/>
      <c r="N571" s="140"/>
      <c r="O571" s="132"/>
      <c r="P571" s="132"/>
      <c r="Q571" s="132"/>
      <c r="R571" s="132"/>
      <c r="S571" s="132"/>
      <c r="T571" s="132"/>
      <c r="U571" s="132"/>
      <c r="V571" s="132"/>
      <c r="W571" s="132"/>
      <c r="X571" s="132"/>
      <c r="Y571" s="132"/>
      <c r="Z571" s="132"/>
      <c r="AA571" s="132"/>
      <c r="AB571" s="132"/>
      <c r="AC571" s="132"/>
      <c r="AD571" s="132"/>
      <c r="AE571" s="132"/>
      <c r="AF571" s="132"/>
      <c r="AG571" s="132"/>
      <c r="AH571" s="132"/>
      <c r="AI571" s="132"/>
      <c r="AJ571" s="132"/>
      <c r="AK571" s="132"/>
      <c r="AL571" s="132"/>
      <c r="AM571" s="132"/>
      <c r="AN571" s="132"/>
      <c r="AO571" s="132"/>
      <c r="AP571" s="132"/>
      <c r="AQ571" s="141"/>
      <c r="AR571" s="132"/>
      <c r="AS571" s="132"/>
      <c r="AT571" s="47"/>
      <c r="AU571" s="7"/>
      <c r="AV571" s="134"/>
      <c r="AW571" s="132"/>
      <c r="AX571" s="132"/>
      <c r="AY571" s="132"/>
      <c r="AZ571" s="132"/>
      <c r="BA571" s="10"/>
      <c r="BB571" s="134"/>
      <c r="BC571" s="132"/>
      <c r="BD571" s="132"/>
      <c r="BE571" s="132"/>
      <c r="BF571" s="132"/>
      <c r="BG571" s="11"/>
      <c r="BH571" s="134"/>
      <c r="BI571" s="132"/>
      <c r="BJ571" s="132"/>
      <c r="BK571" s="132"/>
      <c r="BL571" s="132"/>
    </row>
    <row r="572" customFormat="false" ht="13.8" hidden="false" customHeight="false" outlineLevel="0" collapsed="false">
      <c r="A572" s="140"/>
      <c r="B572" s="140"/>
      <c r="C572" s="168"/>
      <c r="D572" s="132"/>
      <c r="E572" s="132"/>
      <c r="F572" s="132"/>
      <c r="G572" s="132"/>
      <c r="H572" s="132"/>
      <c r="I572" s="132"/>
      <c r="J572" s="132"/>
      <c r="K572" s="132"/>
      <c r="L572" s="132"/>
      <c r="M572" s="132"/>
      <c r="N572" s="140"/>
      <c r="O572" s="132"/>
      <c r="P572" s="132"/>
      <c r="Q572" s="132"/>
      <c r="R572" s="132"/>
      <c r="S572" s="132"/>
      <c r="T572" s="132"/>
      <c r="U572" s="132"/>
      <c r="V572" s="132"/>
      <c r="W572" s="132"/>
      <c r="X572" s="132"/>
      <c r="Y572" s="132"/>
      <c r="Z572" s="132"/>
      <c r="AA572" s="132"/>
      <c r="AB572" s="132"/>
      <c r="AC572" s="132"/>
      <c r="AD572" s="132"/>
      <c r="AE572" s="132"/>
      <c r="AF572" s="132"/>
      <c r="AG572" s="132"/>
      <c r="AH572" s="132"/>
      <c r="AI572" s="132"/>
      <c r="AJ572" s="132"/>
      <c r="AK572" s="132"/>
      <c r="AL572" s="132"/>
      <c r="AM572" s="132"/>
      <c r="AN572" s="132"/>
      <c r="AO572" s="132"/>
      <c r="AP572" s="132"/>
      <c r="AQ572" s="141"/>
      <c r="AR572" s="132"/>
      <c r="AS572" s="132"/>
      <c r="AT572" s="47"/>
      <c r="AU572" s="7"/>
      <c r="AV572" s="134"/>
      <c r="AW572" s="132"/>
      <c r="AX572" s="132"/>
      <c r="AY572" s="132"/>
      <c r="AZ572" s="132"/>
      <c r="BA572" s="10"/>
      <c r="BB572" s="134"/>
      <c r="BC572" s="132"/>
      <c r="BD572" s="132"/>
      <c r="BE572" s="132"/>
      <c r="BF572" s="132"/>
      <c r="BG572" s="11"/>
      <c r="BH572" s="134"/>
      <c r="BI572" s="132"/>
      <c r="BJ572" s="132"/>
      <c r="BK572" s="132"/>
      <c r="BL572" s="132"/>
    </row>
    <row r="573" customFormat="false" ht="13.8" hidden="false" customHeight="false" outlineLevel="0" collapsed="false">
      <c r="A573" s="140"/>
      <c r="B573" s="140"/>
      <c r="C573" s="168"/>
      <c r="D573" s="132"/>
      <c r="E573" s="132"/>
      <c r="F573" s="132"/>
      <c r="G573" s="132"/>
      <c r="H573" s="132"/>
      <c r="I573" s="132"/>
      <c r="J573" s="132"/>
      <c r="K573" s="132"/>
      <c r="L573" s="132"/>
      <c r="M573" s="132"/>
      <c r="N573" s="140"/>
      <c r="O573" s="132"/>
      <c r="P573" s="132"/>
      <c r="Q573" s="132"/>
      <c r="R573" s="132"/>
      <c r="S573" s="132"/>
      <c r="T573" s="132"/>
      <c r="U573" s="132"/>
      <c r="V573" s="132"/>
      <c r="W573" s="132"/>
      <c r="X573" s="132"/>
      <c r="Y573" s="132"/>
      <c r="Z573" s="132"/>
      <c r="AA573" s="132"/>
      <c r="AB573" s="132"/>
      <c r="AC573" s="132"/>
      <c r="AD573" s="132"/>
      <c r="AE573" s="132"/>
      <c r="AF573" s="132"/>
      <c r="AG573" s="132"/>
      <c r="AH573" s="132"/>
      <c r="AI573" s="132"/>
      <c r="AJ573" s="132"/>
      <c r="AK573" s="132"/>
      <c r="AL573" s="132"/>
      <c r="AM573" s="132"/>
      <c r="AN573" s="132"/>
      <c r="AO573" s="132"/>
      <c r="AP573" s="132"/>
      <c r="AQ573" s="141"/>
      <c r="AR573" s="132"/>
      <c r="AS573" s="132"/>
      <c r="AT573" s="47"/>
      <c r="AU573" s="7"/>
      <c r="AV573" s="134"/>
      <c r="AW573" s="132"/>
      <c r="AX573" s="132"/>
      <c r="AY573" s="132"/>
      <c r="AZ573" s="132"/>
      <c r="BA573" s="10"/>
      <c r="BB573" s="134"/>
      <c r="BC573" s="132"/>
      <c r="BD573" s="132"/>
      <c r="BE573" s="132"/>
      <c r="BF573" s="132"/>
      <c r="BG573" s="11"/>
      <c r="BH573" s="134"/>
      <c r="BI573" s="132"/>
      <c r="BJ573" s="132"/>
      <c r="BK573" s="132"/>
      <c r="BL573" s="132"/>
    </row>
    <row r="574" customFormat="false" ht="13.8" hidden="false" customHeight="false" outlineLevel="0" collapsed="false">
      <c r="A574" s="140"/>
      <c r="B574" s="140"/>
      <c r="C574" s="168"/>
      <c r="D574" s="132"/>
      <c r="E574" s="132"/>
      <c r="F574" s="132"/>
      <c r="G574" s="132"/>
      <c r="H574" s="132"/>
      <c r="I574" s="132"/>
      <c r="J574" s="132"/>
      <c r="K574" s="132"/>
      <c r="L574" s="132"/>
      <c r="M574" s="132"/>
      <c r="N574" s="140"/>
      <c r="O574" s="132"/>
      <c r="P574" s="132"/>
      <c r="Q574" s="132"/>
      <c r="R574" s="132"/>
      <c r="S574" s="132"/>
      <c r="T574" s="132"/>
      <c r="U574" s="132"/>
      <c r="V574" s="132"/>
      <c r="W574" s="132"/>
      <c r="X574" s="132"/>
      <c r="Y574" s="132"/>
      <c r="Z574" s="132"/>
      <c r="AA574" s="132"/>
      <c r="AB574" s="132"/>
      <c r="AC574" s="132"/>
      <c r="AD574" s="132"/>
      <c r="AE574" s="132"/>
      <c r="AF574" s="132"/>
      <c r="AG574" s="132"/>
      <c r="AH574" s="132"/>
      <c r="AI574" s="132"/>
      <c r="AJ574" s="132"/>
      <c r="AK574" s="132"/>
      <c r="AL574" s="132"/>
      <c r="AM574" s="132"/>
      <c r="AN574" s="132"/>
      <c r="AO574" s="132"/>
      <c r="AP574" s="132"/>
      <c r="AQ574" s="141"/>
      <c r="AR574" s="132"/>
      <c r="AS574" s="132"/>
      <c r="AT574" s="47"/>
      <c r="AU574" s="7"/>
      <c r="AV574" s="134"/>
      <c r="AW574" s="132"/>
      <c r="AX574" s="132"/>
      <c r="AY574" s="132"/>
      <c r="AZ574" s="132"/>
      <c r="BA574" s="10"/>
      <c r="BB574" s="134"/>
      <c r="BC574" s="132"/>
      <c r="BD574" s="132"/>
      <c r="BE574" s="132"/>
      <c r="BF574" s="132"/>
      <c r="BG574" s="11"/>
      <c r="BH574" s="134"/>
      <c r="BI574" s="132"/>
      <c r="BJ574" s="132"/>
      <c r="BK574" s="132"/>
      <c r="BL574" s="132"/>
    </row>
    <row r="575" customFormat="false" ht="13.8" hidden="false" customHeight="false" outlineLevel="0" collapsed="false">
      <c r="A575" s="140"/>
      <c r="B575" s="140"/>
      <c r="C575" s="168"/>
      <c r="D575" s="132"/>
      <c r="E575" s="132"/>
      <c r="F575" s="132"/>
      <c r="G575" s="132"/>
      <c r="H575" s="132"/>
      <c r="I575" s="132"/>
      <c r="J575" s="132"/>
      <c r="K575" s="132"/>
      <c r="L575" s="132"/>
      <c r="M575" s="132"/>
      <c r="N575" s="140"/>
      <c r="O575" s="132"/>
      <c r="P575" s="132"/>
      <c r="Q575" s="132"/>
      <c r="R575" s="132"/>
      <c r="S575" s="132"/>
      <c r="T575" s="132"/>
      <c r="U575" s="132"/>
      <c r="V575" s="132"/>
      <c r="W575" s="132"/>
      <c r="X575" s="132"/>
      <c r="Y575" s="132"/>
      <c r="Z575" s="132"/>
      <c r="AA575" s="132"/>
      <c r="AB575" s="132"/>
      <c r="AC575" s="132"/>
      <c r="AD575" s="132"/>
      <c r="AE575" s="132"/>
      <c r="AF575" s="132"/>
      <c r="AG575" s="132"/>
      <c r="AH575" s="132"/>
      <c r="AI575" s="132"/>
      <c r="AJ575" s="132"/>
      <c r="AK575" s="132"/>
      <c r="AL575" s="132"/>
      <c r="AM575" s="132"/>
      <c r="AN575" s="132"/>
      <c r="AO575" s="132"/>
      <c r="AP575" s="132"/>
      <c r="AQ575" s="141"/>
      <c r="AR575" s="132"/>
      <c r="AS575" s="132"/>
      <c r="AT575" s="47"/>
      <c r="AU575" s="7"/>
      <c r="AV575" s="134"/>
      <c r="AW575" s="132"/>
      <c r="AX575" s="132"/>
      <c r="AY575" s="132"/>
      <c r="AZ575" s="132"/>
      <c r="BA575" s="10"/>
      <c r="BB575" s="134"/>
      <c r="BC575" s="132"/>
      <c r="BD575" s="132"/>
      <c r="BE575" s="132"/>
      <c r="BF575" s="132"/>
      <c r="BG575" s="11"/>
      <c r="BH575" s="134"/>
      <c r="BI575" s="132"/>
      <c r="BJ575" s="132"/>
      <c r="BK575" s="132"/>
      <c r="BL575" s="132"/>
    </row>
    <row r="576" customFormat="false" ht="13.8" hidden="false" customHeight="false" outlineLevel="0" collapsed="false">
      <c r="A576" s="140"/>
      <c r="B576" s="140"/>
      <c r="C576" s="168"/>
      <c r="D576" s="132"/>
      <c r="E576" s="132"/>
      <c r="F576" s="132"/>
      <c r="G576" s="132"/>
      <c r="H576" s="132"/>
      <c r="I576" s="132"/>
      <c r="J576" s="132"/>
      <c r="K576" s="132"/>
      <c r="L576" s="132"/>
      <c r="M576" s="132"/>
      <c r="N576" s="140"/>
      <c r="O576" s="132"/>
      <c r="P576" s="132"/>
      <c r="Q576" s="132"/>
      <c r="R576" s="132"/>
      <c r="S576" s="132"/>
      <c r="T576" s="132"/>
      <c r="U576" s="132"/>
      <c r="V576" s="132"/>
      <c r="W576" s="132"/>
      <c r="X576" s="132"/>
      <c r="Y576" s="132"/>
      <c r="Z576" s="132"/>
      <c r="AA576" s="132"/>
      <c r="AB576" s="132"/>
      <c r="AC576" s="132"/>
      <c r="AD576" s="132"/>
      <c r="AE576" s="132"/>
      <c r="AF576" s="132"/>
      <c r="AG576" s="132"/>
      <c r="AH576" s="132"/>
      <c r="AI576" s="132"/>
      <c r="AJ576" s="132"/>
      <c r="AK576" s="132"/>
      <c r="AL576" s="132"/>
      <c r="AM576" s="132"/>
      <c r="AN576" s="132"/>
      <c r="AO576" s="132"/>
      <c r="AP576" s="132"/>
      <c r="AQ576" s="141"/>
      <c r="AR576" s="132"/>
      <c r="AS576" s="132"/>
      <c r="AT576" s="47"/>
      <c r="AU576" s="7"/>
      <c r="AV576" s="134"/>
      <c r="AW576" s="132"/>
      <c r="AX576" s="132"/>
      <c r="AY576" s="132"/>
      <c r="AZ576" s="132"/>
      <c r="BA576" s="10"/>
      <c r="BB576" s="134"/>
      <c r="BC576" s="132"/>
      <c r="BD576" s="132"/>
      <c r="BE576" s="132"/>
      <c r="BF576" s="132"/>
      <c r="BG576" s="11"/>
      <c r="BH576" s="134"/>
      <c r="BI576" s="132"/>
      <c r="BJ576" s="132"/>
      <c r="BK576" s="132"/>
      <c r="BL576" s="132"/>
    </row>
    <row r="577" customFormat="false" ht="13.8" hidden="false" customHeight="false" outlineLevel="0" collapsed="false">
      <c r="A577" s="140"/>
      <c r="B577" s="140"/>
      <c r="C577" s="168"/>
      <c r="D577" s="132"/>
      <c r="E577" s="132"/>
      <c r="F577" s="132"/>
      <c r="G577" s="132"/>
      <c r="H577" s="132"/>
      <c r="I577" s="132"/>
      <c r="J577" s="132"/>
      <c r="K577" s="132"/>
      <c r="L577" s="132"/>
      <c r="M577" s="132"/>
      <c r="N577" s="140"/>
      <c r="O577" s="132"/>
      <c r="P577" s="132"/>
      <c r="Q577" s="132"/>
      <c r="R577" s="132"/>
      <c r="S577" s="132"/>
      <c r="T577" s="132"/>
      <c r="U577" s="132"/>
      <c r="V577" s="132"/>
      <c r="W577" s="132"/>
      <c r="X577" s="132"/>
      <c r="Y577" s="132"/>
      <c r="Z577" s="132"/>
      <c r="AA577" s="132"/>
      <c r="AB577" s="132"/>
      <c r="AC577" s="132"/>
      <c r="AD577" s="132"/>
      <c r="AE577" s="132"/>
      <c r="AF577" s="132"/>
      <c r="AG577" s="132"/>
      <c r="AH577" s="132"/>
      <c r="AI577" s="132"/>
      <c r="AJ577" s="132"/>
      <c r="AK577" s="132"/>
      <c r="AL577" s="132"/>
      <c r="AM577" s="132"/>
      <c r="AN577" s="132"/>
      <c r="AO577" s="132"/>
      <c r="AP577" s="132"/>
      <c r="AQ577" s="141"/>
      <c r="AR577" s="132"/>
      <c r="AS577" s="132"/>
      <c r="AT577" s="47"/>
      <c r="AU577" s="7"/>
      <c r="AV577" s="134"/>
      <c r="AW577" s="132"/>
      <c r="AX577" s="132"/>
      <c r="AY577" s="132"/>
      <c r="AZ577" s="132"/>
      <c r="BA577" s="10"/>
      <c r="BB577" s="134"/>
      <c r="BC577" s="132"/>
      <c r="BD577" s="132"/>
      <c r="BE577" s="132"/>
      <c r="BF577" s="132"/>
      <c r="BG577" s="11"/>
      <c r="BH577" s="134"/>
      <c r="BI577" s="132"/>
      <c r="BJ577" s="132"/>
      <c r="BK577" s="132"/>
      <c r="BL577" s="132"/>
    </row>
    <row r="578" customFormat="false" ht="13.8" hidden="false" customHeight="false" outlineLevel="0" collapsed="false">
      <c r="A578" s="140"/>
      <c r="B578" s="140"/>
      <c r="C578" s="168"/>
      <c r="D578" s="132"/>
      <c r="E578" s="132"/>
      <c r="F578" s="132"/>
      <c r="G578" s="132"/>
      <c r="H578" s="132"/>
      <c r="I578" s="132"/>
      <c r="J578" s="132"/>
      <c r="K578" s="132"/>
      <c r="L578" s="132"/>
      <c r="M578" s="132"/>
      <c r="N578" s="140"/>
      <c r="O578" s="132"/>
      <c r="P578" s="132"/>
      <c r="Q578" s="132"/>
      <c r="R578" s="132"/>
      <c r="S578" s="132"/>
      <c r="T578" s="132"/>
      <c r="U578" s="132"/>
      <c r="V578" s="132"/>
      <c r="W578" s="132"/>
      <c r="X578" s="132"/>
      <c r="Y578" s="132"/>
      <c r="Z578" s="132"/>
      <c r="AA578" s="132"/>
      <c r="AB578" s="132"/>
      <c r="AC578" s="132"/>
      <c r="AD578" s="132"/>
      <c r="AE578" s="132"/>
      <c r="AF578" s="132"/>
      <c r="AG578" s="132"/>
      <c r="AH578" s="132"/>
      <c r="AI578" s="132"/>
      <c r="AJ578" s="132"/>
      <c r="AK578" s="132"/>
      <c r="AL578" s="132"/>
      <c r="AM578" s="132"/>
      <c r="AN578" s="132"/>
      <c r="AO578" s="132"/>
      <c r="AP578" s="132"/>
      <c r="AQ578" s="141"/>
      <c r="AR578" s="132"/>
      <c r="AS578" s="132"/>
      <c r="AT578" s="47"/>
      <c r="AU578" s="7"/>
      <c r="AV578" s="134"/>
      <c r="AW578" s="132"/>
      <c r="AX578" s="132"/>
      <c r="AY578" s="132"/>
      <c r="AZ578" s="132"/>
      <c r="BA578" s="10"/>
      <c r="BB578" s="134"/>
      <c r="BC578" s="132"/>
      <c r="BD578" s="132"/>
      <c r="BE578" s="132"/>
      <c r="BF578" s="132"/>
      <c r="BG578" s="11"/>
      <c r="BH578" s="134"/>
      <c r="BI578" s="132"/>
      <c r="BJ578" s="132"/>
      <c r="BK578" s="132"/>
      <c r="BL578" s="132"/>
    </row>
    <row r="579" customFormat="false" ht="13.8" hidden="false" customHeight="false" outlineLevel="0" collapsed="false">
      <c r="A579" s="140"/>
      <c r="B579" s="140"/>
      <c r="C579" s="168"/>
      <c r="D579" s="132"/>
      <c r="E579" s="132"/>
      <c r="F579" s="132"/>
      <c r="G579" s="132"/>
      <c r="H579" s="132"/>
      <c r="I579" s="132"/>
      <c r="J579" s="132"/>
      <c r="K579" s="132"/>
      <c r="L579" s="132"/>
      <c r="M579" s="132"/>
      <c r="N579" s="140"/>
      <c r="O579" s="132"/>
      <c r="P579" s="132"/>
      <c r="Q579" s="132"/>
      <c r="R579" s="132"/>
      <c r="S579" s="132"/>
      <c r="T579" s="132"/>
      <c r="U579" s="132"/>
      <c r="V579" s="132"/>
      <c r="W579" s="132"/>
      <c r="X579" s="132"/>
      <c r="Y579" s="132"/>
      <c r="Z579" s="132"/>
      <c r="AA579" s="132"/>
      <c r="AB579" s="132"/>
      <c r="AC579" s="132"/>
      <c r="AD579" s="132"/>
      <c r="AE579" s="132"/>
      <c r="AF579" s="132"/>
      <c r="AG579" s="132"/>
      <c r="AH579" s="132"/>
      <c r="AI579" s="132"/>
      <c r="AJ579" s="132"/>
      <c r="AK579" s="132"/>
      <c r="AL579" s="132"/>
      <c r="AM579" s="132"/>
      <c r="AN579" s="132"/>
      <c r="AO579" s="132"/>
      <c r="AP579" s="132"/>
      <c r="AQ579" s="141"/>
      <c r="AR579" s="132"/>
      <c r="AS579" s="132"/>
      <c r="AT579" s="47"/>
      <c r="AU579" s="7"/>
      <c r="AV579" s="134"/>
      <c r="AW579" s="132"/>
      <c r="AX579" s="132"/>
      <c r="AY579" s="132"/>
      <c r="AZ579" s="132"/>
      <c r="BA579" s="10"/>
      <c r="BB579" s="134"/>
      <c r="BC579" s="132"/>
      <c r="BD579" s="132"/>
      <c r="BE579" s="132"/>
      <c r="BF579" s="132"/>
      <c r="BG579" s="11"/>
      <c r="BH579" s="134"/>
      <c r="BI579" s="132"/>
      <c r="BJ579" s="132"/>
      <c r="BK579" s="132"/>
      <c r="BL579" s="132"/>
    </row>
    <row r="580" customFormat="false" ht="13.8" hidden="false" customHeight="false" outlineLevel="0" collapsed="false">
      <c r="A580" s="140"/>
      <c r="B580" s="140"/>
      <c r="C580" s="168"/>
      <c r="D580" s="132"/>
      <c r="E580" s="132"/>
      <c r="F580" s="132"/>
      <c r="G580" s="132"/>
      <c r="H580" s="132"/>
      <c r="I580" s="132"/>
      <c r="J580" s="132"/>
      <c r="K580" s="132"/>
      <c r="L580" s="132"/>
      <c r="M580" s="132"/>
      <c r="N580" s="140"/>
      <c r="O580" s="132"/>
      <c r="P580" s="132"/>
      <c r="Q580" s="132"/>
      <c r="R580" s="132"/>
      <c r="S580" s="132"/>
      <c r="T580" s="132"/>
      <c r="U580" s="132"/>
      <c r="V580" s="132"/>
      <c r="W580" s="132"/>
      <c r="X580" s="132"/>
      <c r="Y580" s="132"/>
      <c r="Z580" s="132"/>
      <c r="AA580" s="132"/>
      <c r="AB580" s="132"/>
      <c r="AC580" s="132"/>
      <c r="AD580" s="132"/>
      <c r="AE580" s="132"/>
      <c r="AF580" s="132"/>
      <c r="AG580" s="132"/>
      <c r="AH580" s="132"/>
      <c r="AI580" s="132"/>
      <c r="AJ580" s="132"/>
      <c r="AK580" s="132"/>
      <c r="AL580" s="132"/>
      <c r="AM580" s="132"/>
      <c r="AN580" s="132"/>
      <c r="AO580" s="132"/>
      <c r="AP580" s="132"/>
      <c r="AQ580" s="141"/>
      <c r="AR580" s="132"/>
      <c r="AS580" s="132"/>
      <c r="AT580" s="47"/>
      <c r="AU580" s="7"/>
      <c r="AV580" s="134"/>
      <c r="AW580" s="132"/>
      <c r="AX580" s="132"/>
      <c r="AY580" s="132"/>
      <c r="AZ580" s="132"/>
      <c r="BA580" s="10"/>
      <c r="BB580" s="134"/>
      <c r="BC580" s="132"/>
      <c r="BD580" s="132"/>
      <c r="BE580" s="132"/>
      <c r="BF580" s="132"/>
      <c r="BG580" s="11"/>
      <c r="BH580" s="134"/>
      <c r="BI580" s="132"/>
      <c r="BJ580" s="132"/>
      <c r="BK580" s="132"/>
      <c r="BL580" s="132"/>
    </row>
    <row r="581" customFormat="false" ht="13.8" hidden="false" customHeight="false" outlineLevel="0" collapsed="false">
      <c r="A581" s="140"/>
      <c r="B581" s="140"/>
      <c r="C581" s="168"/>
      <c r="D581" s="132"/>
      <c r="E581" s="132"/>
      <c r="F581" s="132"/>
      <c r="G581" s="132"/>
      <c r="H581" s="132"/>
      <c r="I581" s="132"/>
      <c r="J581" s="132"/>
      <c r="K581" s="132"/>
      <c r="L581" s="132"/>
      <c r="M581" s="132"/>
      <c r="N581" s="140"/>
      <c r="O581" s="132"/>
      <c r="P581" s="132"/>
      <c r="Q581" s="132"/>
      <c r="R581" s="132"/>
      <c r="S581" s="132"/>
      <c r="T581" s="132"/>
      <c r="U581" s="132"/>
      <c r="V581" s="132"/>
      <c r="W581" s="132"/>
      <c r="X581" s="132"/>
      <c r="Y581" s="132"/>
      <c r="Z581" s="132"/>
      <c r="AA581" s="132"/>
      <c r="AB581" s="132"/>
      <c r="AC581" s="132"/>
      <c r="AD581" s="132"/>
      <c r="AE581" s="132"/>
      <c r="AF581" s="132"/>
      <c r="AG581" s="132"/>
      <c r="AH581" s="132"/>
      <c r="AI581" s="132"/>
      <c r="AJ581" s="132"/>
      <c r="AK581" s="132"/>
      <c r="AL581" s="132"/>
      <c r="AM581" s="132"/>
      <c r="AN581" s="132"/>
      <c r="AO581" s="132"/>
      <c r="AP581" s="132"/>
      <c r="AQ581" s="141"/>
      <c r="AR581" s="132"/>
      <c r="AS581" s="132"/>
      <c r="AT581" s="47"/>
      <c r="AU581" s="7"/>
      <c r="AV581" s="134"/>
      <c r="AW581" s="132"/>
      <c r="AX581" s="132"/>
      <c r="AY581" s="132"/>
      <c r="AZ581" s="132"/>
      <c r="BA581" s="10"/>
      <c r="BB581" s="134"/>
      <c r="BC581" s="132"/>
      <c r="BD581" s="132"/>
      <c r="BE581" s="132"/>
      <c r="BF581" s="132"/>
      <c r="BG581" s="11"/>
      <c r="BH581" s="134"/>
      <c r="BI581" s="132"/>
      <c r="BJ581" s="132"/>
      <c r="BK581" s="132"/>
      <c r="BL581" s="132"/>
    </row>
    <row r="582" customFormat="false" ht="13.8" hidden="false" customHeight="false" outlineLevel="0" collapsed="false">
      <c r="A582" s="140"/>
      <c r="B582" s="140"/>
      <c r="C582" s="168"/>
      <c r="D582" s="132"/>
      <c r="E582" s="132"/>
      <c r="F582" s="132"/>
      <c r="G582" s="132"/>
      <c r="H582" s="132"/>
      <c r="I582" s="132"/>
      <c r="J582" s="132"/>
      <c r="K582" s="132"/>
      <c r="L582" s="132"/>
      <c r="M582" s="132"/>
      <c r="N582" s="140"/>
      <c r="O582" s="132"/>
      <c r="P582" s="132"/>
      <c r="Q582" s="132"/>
      <c r="R582" s="132"/>
      <c r="S582" s="132"/>
      <c r="T582" s="132"/>
      <c r="U582" s="132"/>
      <c r="V582" s="132"/>
      <c r="W582" s="132"/>
      <c r="X582" s="132"/>
      <c r="Y582" s="132"/>
      <c r="Z582" s="132"/>
      <c r="AA582" s="132"/>
      <c r="AB582" s="132"/>
      <c r="AC582" s="132"/>
      <c r="AD582" s="132"/>
      <c r="AE582" s="132"/>
      <c r="AF582" s="132"/>
      <c r="AG582" s="132"/>
      <c r="AH582" s="132"/>
      <c r="AI582" s="132"/>
      <c r="AJ582" s="132"/>
      <c r="AK582" s="132"/>
      <c r="AL582" s="132"/>
      <c r="AM582" s="132"/>
      <c r="AN582" s="132"/>
      <c r="AO582" s="132"/>
      <c r="AP582" s="132"/>
      <c r="AQ582" s="141"/>
      <c r="AR582" s="132"/>
      <c r="AS582" s="132"/>
      <c r="AT582" s="47"/>
      <c r="AU582" s="7"/>
      <c r="AV582" s="134"/>
      <c r="AW582" s="132"/>
      <c r="AX582" s="132"/>
      <c r="AY582" s="132"/>
      <c r="AZ582" s="132"/>
      <c r="BA582" s="10"/>
      <c r="BB582" s="134"/>
      <c r="BC582" s="132"/>
      <c r="BD582" s="132"/>
      <c r="BE582" s="132"/>
      <c r="BF582" s="132"/>
      <c r="BG582" s="11"/>
      <c r="BH582" s="134"/>
      <c r="BI582" s="132"/>
      <c r="BJ582" s="132"/>
      <c r="BK582" s="132"/>
      <c r="BL582" s="132"/>
    </row>
    <row r="583" customFormat="false" ht="13.8" hidden="false" customHeight="false" outlineLevel="0" collapsed="false">
      <c r="A583" s="140"/>
      <c r="B583" s="140"/>
      <c r="C583" s="168"/>
      <c r="D583" s="132"/>
      <c r="E583" s="132"/>
      <c r="F583" s="132"/>
      <c r="G583" s="132"/>
      <c r="H583" s="132"/>
      <c r="I583" s="132"/>
      <c r="J583" s="132"/>
      <c r="K583" s="132"/>
      <c r="L583" s="132"/>
      <c r="M583" s="132"/>
      <c r="N583" s="140"/>
      <c r="O583" s="132"/>
      <c r="P583" s="132"/>
      <c r="Q583" s="132"/>
      <c r="R583" s="132"/>
      <c r="S583" s="132"/>
      <c r="T583" s="132"/>
      <c r="U583" s="132"/>
      <c r="V583" s="132"/>
      <c r="W583" s="132"/>
      <c r="X583" s="132"/>
      <c r="Y583" s="132"/>
      <c r="Z583" s="132"/>
      <c r="AA583" s="132"/>
      <c r="AB583" s="132"/>
      <c r="AC583" s="132"/>
      <c r="AD583" s="132"/>
      <c r="AE583" s="132"/>
      <c r="AF583" s="132"/>
      <c r="AG583" s="132"/>
      <c r="AH583" s="132"/>
      <c r="AI583" s="132"/>
      <c r="AJ583" s="132"/>
      <c r="AK583" s="132"/>
      <c r="AL583" s="132"/>
      <c r="AM583" s="132"/>
      <c r="AN583" s="132"/>
      <c r="AO583" s="132"/>
      <c r="AP583" s="132"/>
      <c r="AQ583" s="141"/>
      <c r="AR583" s="132"/>
      <c r="AS583" s="132"/>
      <c r="AT583" s="47"/>
      <c r="AU583" s="7"/>
      <c r="AV583" s="134"/>
      <c r="AW583" s="132"/>
      <c r="AX583" s="132"/>
      <c r="AY583" s="132"/>
      <c r="AZ583" s="132"/>
      <c r="BA583" s="10"/>
      <c r="BB583" s="134"/>
      <c r="BC583" s="132"/>
      <c r="BD583" s="132"/>
      <c r="BE583" s="132"/>
      <c r="BF583" s="132"/>
      <c r="BG583" s="11"/>
      <c r="BH583" s="134"/>
      <c r="BI583" s="132"/>
      <c r="BJ583" s="132"/>
      <c r="BK583" s="132"/>
      <c r="BL583" s="132"/>
    </row>
    <row r="584" customFormat="false" ht="13.8" hidden="false" customHeight="false" outlineLevel="0" collapsed="false">
      <c r="A584" s="140"/>
      <c r="B584" s="140"/>
      <c r="C584" s="168"/>
      <c r="D584" s="132"/>
      <c r="E584" s="132"/>
      <c r="F584" s="132"/>
      <c r="G584" s="132"/>
      <c r="H584" s="132"/>
      <c r="I584" s="132"/>
      <c r="J584" s="132"/>
      <c r="K584" s="132"/>
      <c r="L584" s="132"/>
      <c r="M584" s="132"/>
      <c r="N584" s="140"/>
      <c r="O584" s="132"/>
      <c r="P584" s="132"/>
      <c r="Q584" s="132"/>
      <c r="R584" s="132"/>
      <c r="S584" s="132"/>
      <c r="T584" s="132"/>
      <c r="U584" s="132"/>
      <c r="V584" s="132"/>
      <c r="W584" s="132"/>
      <c r="X584" s="132"/>
      <c r="Y584" s="132"/>
      <c r="Z584" s="132"/>
      <c r="AA584" s="132"/>
      <c r="AB584" s="132"/>
      <c r="AC584" s="132"/>
      <c r="AD584" s="132"/>
      <c r="AE584" s="132"/>
      <c r="AF584" s="132"/>
      <c r="AG584" s="132"/>
      <c r="AH584" s="132"/>
      <c r="AI584" s="132"/>
      <c r="AJ584" s="132"/>
      <c r="AK584" s="132"/>
      <c r="AL584" s="132"/>
      <c r="AM584" s="132"/>
      <c r="AN584" s="132"/>
      <c r="AO584" s="132"/>
      <c r="AP584" s="132"/>
      <c r="AQ584" s="141"/>
      <c r="AR584" s="132"/>
      <c r="AS584" s="132"/>
      <c r="AT584" s="47"/>
      <c r="AU584" s="7"/>
      <c r="AV584" s="134"/>
      <c r="AW584" s="132"/>
      <c r="AX584" s="132"/>
      <c r="AY584" s="132"/>
      <c r="AZ584" s="132"/>
      <c r="BA584" s="10"/>
      <c r="BB584" s="134"/>
      <c r="BC584" s="132"/>
      <c r="BD584" s="132"/>
      <c r="BE584" s="132"/>
      <c r="BF584" s="132"/>
      <c r="BG584" s="11"/>
      <c r="BH584" s="134"/>
      <c r="BI584" s="132"/>
      <c r="BJ584" s="132"/>
      <c r="BK584" s="132"/>
      <c r="BL584" s="132"/>
    </row>
    <row r="585" customFormat="false" ht="13.8" hidden="false" customHeight="false" outlineLevel="0" collapsed="false">
      <c r="A585" s="140"/>
      <c r="B585" s="140"/>
      <c r="C585" s="168"/>
      <c r="D585" s="132"/>
      <c r="E585" s="132"/>
      <c r="F585" s="132"/>
      <c r="G585" s="132"/>
      <c r="H585" s="132"/>
      <c r="I585" s="132"/>
      <c r="J585" s="132"/>
      <c r="K585" s="132"/>
      <c r="L585" s="132"/>
      <c r="M585" s="132"/>
      <c r="N585" s="140"/>
      <c r="O585" s="132"/>
      <c r="P585" s="132"/>
      <c r="Q585" s="132"/>
      <c r="R585" s="132"/>
      <c r="S585" s="132"/>
      <c r="T585" s="132"/>
      <c r="U585" s="132"/>
      <c r="V585" s="132"/>
      <c r="W585" s="132"/>
      <c r="X585" s="132"/>
      <c r="Y585" s="132"/>
      <c r="Z585" s="132"/>
      <c r="AA585" s="132"/>
      <c r="AB585" s="132"/>
      <c r="AC585" s="132"/>
      <c r="AD585" s="132"/>
      <c r="AE585" s="132"/>
      <c r="AF585" s="132"/>
      <c r="AG585" s="132"/>
      <c r="AH585" s="132"/>
      <c r="AI585" s="132"/>
      <c r="AJ585" s="132"/>
      <c r="AK585" s="132"/>
      <c r="AL585" s="132"/>
      <c r="AM585" s="132"/>
      <c r="AN585" s="132"/>
      <c r="AO585" s="132"/>
      <c r="AP585" s="132"/>
      <c r="AQ585" s="141"/>
      <c r="AR585" s="132"/>
      <c r="AS585" s="132"/>
      <c r="AT585" s="47"/>
      <c r="AU585" s="7"/>
      <c r="AV585" s="134"/>
      <c r="AW585" s="132"/>
      <c r="AX585" s="132"/>
      <c r="AY585" s="132"/>
      <c r="AZ585" s="132"/>
      <c r="BA585" s="10"/>
      <c r="BB585" s="134"/>
      <c r="BC585" s="132"/>
      <c r="BD585" s="132"/>
      <c r="BE585" s="132"/>
      <c r="BF585" s="132"/>
      <c r="BG585" s="11"/>
      <c r="BH585" s="134"/>
      <c r="BI585" s="132"/>
      <c r="BJ585" s="132"/>
      <c r="BK585" s="132"/>
      <c r="BL585" s="132"/>
    </row>
    <row r="586" customFormat="false" ht="13.8" hidden="false" customHeight="false" outlineLevel="0" collapsed="false">
      <c r="A586" s="140"/>
      <c r="B586" s="140"/>
      <c r="C586" s="168"/>
      <c r="D586" s="132"/>
      <c r="E586" s="132"/>
      <c r="F586" s="132"/>
      <c r="G586" s="132"/>
      <c r="H586" s="132"/>
      <c r="I586" s="132"/>
      <c r="J586" s="132"/>
      <c r="K586" s="132"/>
      <c r="L586" s="132"/>
      <c r="M586" s="132"/>
      <c r="N586" s="140"/>
      <c r="O586" s="132"/>
      <c r="P586" s="132"/>
      <c r="Q586" s="132"/>
      <c r="R586" s="132"/>
      <c r="S586" s="132"/>
      <c r="T586" s="132"/>
      <c r="U586" s="132"/>
      <c r="V586" s="132"/>
      <c r="W586" s="132"/>
      <c r="X586" s="132"/>
      <c r="Y586" s="132"/>
      <c r="Z586" s="132"/>
      <c r="AA586" s="132"/>
      <c r="AB586" s="132"/>
      <c r="AC586" s="132"/>
      <c r="AD586" s="132"/>
      <c r="AE586" s="132"/>
      <c r="AF586" s="132"/>
      <c r="AG586" s="132"/>
      <c r="AH586" s="132"/>
      <c r="AI586" s="132"/>
      <c r="AJ586" s="132"/>
      <c r="AK586" s="132"/>
      <c r="AL586" s="132"/>
      <c r="AM586" s="132"/>
      <c r="AN586" s="132"/>
      <c r="AO586" s="132"/>
      <c r="AP586" s="132"/>
      <c r="AQ586" s="141"/>
      <c r="AR586" s="132"/>
      <c r="AS586" s="132"/>
      <c r="AT586" s="47"/>
      <c r="AU586" s="7"/>
      <c r="AV586" s="134"/>
      <c r="AW586" s="132"/>
      <c r="AX586" s="132"/>
      <c r="AY586" s="132"/>
      <c r="AZ586" s="132"/>
      <c r="BA586" s="10"/>
      <c r="BB586" s="134"/>
      <c r="BC586" s="132"/>
      <c r="BD586" s="132"/>
      <c r="BE586" s="132"/>
      <c r="BF586" s="132"/>
      <c r="BG586" s="11"/>
      <c r="BH586" s="134"/>
      <c r="BI586" s="132"/>
      <c r="BJ586" s="132"/>
      <c r="BK586" s="132"/>
      <c r="BL586" s="132"/>
    </row>
    <row r="587" customFormat="false" ht="13.8" hidden="false" customHeight="false" outlineLevel="0" collapsed="false">
      <c r="A587" s="140"/>
      <c r="B587" s="140"/>
      <c r="C587" s="168"/>
      <c r="D587" s="132"/>
      <c r="E587" s="132"/>
      <c r="F587" s="132"/>
      <c r="G587" s="132"/>
      <c r="H587" s="132"/>
      <c r="I587" s="132"/>
      <c r="J587" s="132"/>
      <c r="K587" s="132"/>
      <c r="L587" s="132"/>
      <c r="M587" s="132"/>
      <c r="N587" s="140"/>
      <c r="O587" s="132"/>
      <c r="P587" s="132"/>
      <c r="Q587" s="132"/>
      <c r="R587" s="132"/>
      <c r="S587" s="132"/>
      <c r="T587" s="132"/>
      <c r="U587" s="132"/>
      <c r="V587" s="132"/>
      <c r="W587" s="132"/>
      <c r="X587" s="132"/>
      <c r="Y587" s="132"/>
      <c r="Z587" s="132"/>
      <c r="AA587" s="132"/>
      <c r="AB587" s="132"/>
      <c r="AC587" s="132"/>
      <c r="AD587" s="132"/>
      <c r="AE587" s="132"/>
      <c r="AF587" s="132"/>
      <c r="AG587" s="132"/>
      <c r="AH587" s="132"/>
      <c r="AI587" s="132"/>
      <c r="AJ587" s="132"/>
      <c r="AK587" s="132"/>
      <c r="AL587" s="132"/>
      <c r="AM587" s="132"/>
      <c r="AN587" s="132"/>
      <c r="AO587" s="132"/>
      <c r="AP587" s="132"/>
      <c r="AQ587" s="141"/>
      <c r="AR587" s="132"/>
      <c r="AS587" s="132"/>
      <c r="AT587" s="47"/>
      <c r="AU587" s="7"/>
      <c r="AV587" s="134"/>
      <c r="AW587" s="132"/>
      <c r="AX587" s="132"/>
      <c r="AY587" s="132"/>
      <c r="AZ587" s="132"/>
      <c r="BA587" s="10"/>
      <c r="BB587" s="134"/>
      <c r="BC587" s="132"/>
      <c r="BD587" s="132"/>
      <c r="BE587" s="132"/>
      <c r="BF587" s="132"/>
      <c r="BG587" s="11"/>
      <c r="BH587" s="134"/>
      <c r="BI587" s="132"/>
      <c r="BJ587" s="132"/>
      <c r="BK587" s="132"/>
      <c r="BL587" s="132"/>
    </row>
    <row r="588" customFormat="false" ht="13.8" hidden="false" customHeight="false" outlineLevel="0" collapsed="false">
      <c r="A588" s="140"/>
      <c r="B588" s="140"/>
      <c r="C588" s="168"/>
      <c r="D588" s="132"/>
      <c r="E588" s="132"/>
      <c r="F588" s="132"/>
      <c r="G588" s="132"/>
      <c r="H588" s="132"/>
      <c r="I588" s="132"/>
      <c r="J588" s="132"/>
      <c r="K588" s="132"/>
      <c r="L588" s="132"/>
      <c r="M588" s="132"/>
      <c r="N588" s="140"/>
      <c r="O588" s="132"/>
      <c r="P588" s="132"/>
      <c r="Q588" s="132"/>
      <c r="R588" s="132"/>
      <c r="S588" s="132"/>
      <c r="T588" s="132"/>
      <c r="U588" s="132"/>
      <c r="V588" s="132"/>
      <c r="W588" s="132"/>
      <c r="X588" s="132"/>
      <c r="Y588" s="132"/>
      <c r="Z588" s="132"/>
      <c r="AA588" s="132"/>
      <c r="AB588" s="132"/>
      <c r="AC588" s="132"/>
      <c r="AD588" s="132"/>
      <c r="AE588" s="132"/>
      <c r="AF588" s="132"/>
      <c r="AG588" s="132"/>
      <c r="AH588" s="132"/>
      <c r="AI588" s="132"/>
      <c r="AJ588" s="132"/>
      <c r="AK588" s="132"/>
      <c r="AL588" s="132"/>
      <c r="AM588" s="132"/>
      <c r="AN588" s="132"/>
      <c r="AO588" s="132"/>
      <c r="AP588" s="132"/>
      <c r="AQ588" s="141"/>
      <c r="AR588" s="132"/>
      <c r="AS588" s="132"/>
      <c r="AT588" s="47"/>
      <c r="AU588" s="7"/>
      <c r="AV588" s="134"/>
      <c r="AW588" s="132"/>
      <c r="AX588" s="132"/>
      <c r="AY588" s="132"/>
      <c r="AZ588" s="132"/>
      <c r="BA588" s="10"/>
      <c r="BB588" s="134"/>
      <c r="BC588" s="132"/>
      <c r="BD588" s="132"/>
      <c r="BE588" s="132"/>
      <c r="BF588" s="132"/>
      <c r="BG588" s="11"/>
      <c r="BH588" s="134"/>
      <c r="BI588" s="132"/>
      <c r="BJ588" s="132"/>
      <c r="BK588" s="132"/>
      <c r="BL588" s="132"/>
    </row>
    <row r="589" customFormat="false" ht="13.8" hidden="false" customHeight="false" outlineLevel="0" collapsed="false">
      <c r="A589" s="140"/>
      <c r="B589" s="140"/>
      <c r="C589" s="168"/>
      <c r="D589" s="132"/>
      <c r="E589" s="132"/>
      <c r="F589" s="132"/>
      <c r="G589" s="132"/>
      <c r="H589" s="132"/>
      <c r="I589" s="132"/>
      <c r="J589" s="132"/>
      <c r="K589" s="132"/>
      <c r="L589" s="132"/>
      <c r="M589" s="132"/>
      <c r="N589" s="140"/>
      <c r="O589" s="132"/>
      <c r="P589" s="132"/>
      <c r="Q589" s="132"/>
      <c r="R589" s="132"/>
      <c r="S589" s="132"/>
      <c r="T589" s="132"/>
      <c r="U589" s="132"/>
      <c r="V589" s="132"/>
      <c r="W589" s="132"/>
      <c r="X589" s="132"/>
      <c r="Y589" s="132"/>
      <c r="Z589" s="132"/>
      <c r="AA589" s="132"/>
      <c r="AB589" s="132"/>
      <c r="AC589" s="132"/>
      <c r="AD589" s="132"/>
      <c r="AE589" s="132"/>
      <c r="AF589" s="132"/>
      <c r="AG589" s="132"/>
      <c r="AH589" s="132"/>
      <c r="AI589" s="132"/>
      <c r="AJ589" s="132"/>
      <c r="AK589" s="132"/>
      <c r="AL589" s="132"/>
      <c r="AM589" s="132"/>
      <c r="AN589" s="132"/>
      <c r="AO589" s="132"/>
      <c r="AP589" s="132"/>
      <c r="AQ589" s="141"/>
      <c r="AR589" s="132"/>
      <c r="AS589" s="132"/>
      <c r="AT589" s="47"/>
      <c r="AU589" s="7"/>
      <c r="AV589" s="134"/>
      <c r="AW589" s="132"/>
      <c r="AX589" s="132"/>
      <c r="AY589" s="132"/>
      <c r="AZ589" s="132"/>
      <c r="BA589" s="10"/>
      <c r="BB589" s="134"/>
      <c r="BC589" s="132"/>
      <c r="BD589" s="132"/>
      <c r="BE589" s="132"/>
      <c r="BF589" s="132"/>
      <c r="BG589" s="11"/>
      <c r="BH589" s="134"/>
      <c r="BI589" s="132"/>
      <c r="BJ589" s="132"/>
      <c r="BK589" s="132"/>
      <c r="BL589" s="132"/>
    </row>
    <row r="590" customFormat="false" ht="13.8" hidden="false" customHeight="false" outlineLevel="0" collapsed="false">
      <c r="A590" s="140"/>
      <c r="B590" s="140"/>
      <c r="C590" s="168"/>
      <c r="D590" s="132"/>
      <c r="E590" s="132"/>
      <c r="F590" s="132"/>
      <c r="G590" s="132"/>
      <c r="H590" s="132"/>
      <c r="I590" s="132"/>
      <c r="J590" s="132"/>
      <c r="K590" s="132"/>
      <c r="L590" s="132"/>
      <c r="M590" s="132"/>
      <c r="N590" s="140"/>
      <c r="O590" s="132"/>
      <c r="P590" s="132"/>
      <c r="Q590" s="132"/>
      <c r="R590" s="132"/>
      <c r="S590" s="132"/>
      <c r="T590" s="132"/>
      <c r="U590" s="132"/>
      <c r="V590" s="132"/>
      <c r="W590" s="132"/>
      <c r="X590" s="132"/>
      <c r="Y590" s="132"/>
      <c r="Z590" s="132"/>
      <c r="AA590" s="132"/>
      <c r="AB590" s="132"/>
      <c r="AC590" s="132"/>
      <c r="AD590" s="132"/>
      <c r="AE590" s="132"/>
      <c r="AF590" s="132"/>
      <c r="AG590" s="132"/>
      <c r="AH590" s="132"/>
      <c r="AI590" s="132"/>
      <c r="AJ590" s="132"/>
      <c r="AK590" s="132"/>
      <c r="AL590" s="132"/>
      <c r="AM590" s="132"/>
      <c r="AN590" s="132"/>
      <c r="AO590" s="132"/>
      <c r="AP590" s="132"/>
      <c r="AQ590" s="141"/>
      <c r="AR590" s="132"/>
      <c r="AS590" s="132"/>
      <c r="AT590" s="47"/>
      <c r="AU590" s="7"/>
      <c r="AV590" s="134"/>
      <c r="AW590" s="132"/>
      <c r="AX590" s="132"/>
      <c r="AY590" s="132"/>
      <c r="AZ590" s="132"/>
      <c r="BA590" s="10"/>
      <c r="BB590" s="134"/>
      <c r="BC590" s="132"/>
      <c r="BD590" s="132"/>
      <c r="BE590" s="132"/>
      <c r="BF590" s="132"/>
      <c r="BG590" s="11"/>
      <c r="BH590" s="134"/>
      <c r="BI590" s="132"/>
      <c r="BJ590" s="132"/>
      <c r="BK590" s="132"/>
      <c r="BL590" s="132"/>
    </row>
    <row r="591" customFormat="false" ht="13.8" hidden="false" customHeight="false" outlineLevel="0" collapsed="false">
      <c r="A591" s="140"/>
      <c r="B591" s="140"/>
      <c r="C591" s="168"/>
      <c r="D591" s="132"/>
      <c r="E591" s="132"/>
      <c r="F591" s="132"/>
      <c r="G591" s="132"/>
      <c r="H591" s="132"/>
      <c r="I591" s="132"/>
      <c r="J591" s="132"/>
      <c r="K591" s="132"/>
      <c r="L591" s="132"/>
      <c r="M591" s="132"/>
      <c r="N591" s="140"/>
      <c r="O591" s="132"/>
      <c r="P591" s="132"/>
      <c r="Q591" s="132"/>
      <c r="R591" s="132"/>
      <c r="S591" s="132"/>
      <c r="T591" s="132"/>
      <c r="U591" s="132"/>
      <c r="V591" s="132"/>
      <c r="W591" s="132"/>
      <c r="X591" s="132"/>
      <c r="Y591" s="132"/>
      <c r="Z591" s="132"/>
      <c r="AA591" s="132"/>
      <c r="AB591" s="132"/>
      <c r="AC591" s="132"/>
      <c r="AD591" s="132"/>
      <c r="AE591" s="132"/>
      <c r="AF591" s="132"/>
      <c r="AG591" s="132"/>
      <c r="AH591" s="132"/>
      <c r="AI591" s="132"/>
      <c r="AJ591" s="132"/>
      <c r="AK591" s="132"/>
      <c r="AL591" s="132"/>
      <c r="AM591" s="132"/>
      <c r="AN591" s="132"/>
      <c r="AO591" s="132"/>
      <c r="AP591" s="132"/>
      <c r="AQ591" s="141"/>
      <c r="AR591" s="132"/>
      <c r="AS591" s="132"/>
      <c r="AT591" s="47"/>
      <c r="AU591" s="7"/>
      <c r="AV591" s="134"/>
      <c r="AW591" s="132"/>
      <c r="AX591" s="132"/>
      <c r="AY591" s="132"/>
      <c r="AZ591" s="132"/>
      <c r="BA591" s="10"/>
      <c r="BB591" s="134"/>
      <c r="BC591" s="132"/>
      <c r="BD591" s="132"/>
      <c r="BE591" s="132"/>
      <c r="BF591" s="132"/>
      <c r="BG591" s="11"/>
      <c r="BH591" s="134"/>
      <c r="BI591" s="132"/>
      <c r="BJ591" s="132"/>
      <c r="BK591" s="132"/>
      <c r="BL591" s="132"/>
    </row>
    <row r="592" customFormat="false" ht="13.8" hidden="false" customHeight="false" outlineLevel="0" collapsed="false">
      <c r="A592" s="140"/>
      <c r="B592" s="140"/>
      <c r="C592" s="168"/>
      <c r="D592" s="132"/>
      <c r="E592" s="132"/>
      <c r="F592" s="132"/>
      <c r="G592" s="132"/>
      <c r="H592" s="132"/>
      <c r="I592" s="132"/>
      <c r="J592" s="132"/>
      <c r="K592" s="132"/>
      <c r="L592" s="132"/>
      <c r="M592" s="132"/>
      <c r="N592" s="140"/>
      <c r="O592" s="132"/>
      <c r="P592" s="132"/>
      <c r="Q592" s="132"/>
      <c r="R592" s="132"/>
      <c r="S592" s="132"/>
      <c r="T592" s="132"/>
      <c r="U592" s="132"/>
      <c r="V592" s="132"/>
      <c r="W592" s="132"/>
      <c r="X592" s="132"/>
      <c r="Y592" s="132"/>
      <c r="Z592" s="132"/>
      <c r="AA592" s="132"/>
      <c r="AB592" s="132"/>
      <c r="AC592" s="132"/>
      <c r="AD592" s="132"/>
      <c r="AE592" s="132"/>
      <c r="AF592" s="132"/>
      <c r="AG592" s="132"/>
      <c r="AH592" s="132"/>
      <c r="AI592" s="132"/>
      <c r="AJ592" s="132"/>
      <c r="AK592" s="132"/>
      <c r="AL592" s="132"/>
      <c r="AM592" s="132"/>
      <c r="AN592" s="132"/>
      <c r="AO592" s="132"/>
      <c r="AP592" s="132"/>
      <c r="AQ592" s="141"/>
      <c r="AR592" s="132"/>
      <c r="AS592" s="132"/>
      <c r="AT592" s="47"/>
      <c r="AU592" s="7"/>
      <c r="AV592" s="134"/>
      <c r="AW592" s="132"/>
      <c r="AX592" s="132"/>
      <c r="AY592" s="132"/>
      <c r="AZ592" s="132"/>
      <c r="BA592" s="10"/>
      <c r="BB592" s="134"/>
      <c r="BC592" s="132"/>
      <c r="BD592" s="132"/>
      <c r="BE592" s="132"/>
      <c r="BF592" s="132"/>
      <c r="BG592" s="11"/>
      <c r="BH592" s="134"/>
      <c r="BI592" s="132"/>
      <c r="BJ592" s="132"/>
      <c r="BK592" s="132"/>
      <c r="BL592" s="132"/>
    </row>
    <row r="593" customFormat="false" ht="13.8" hidden="false" customHeight="false" outlineLevel="0" collapsed="false">
      <c r="A593" s="140"/>
      <c r="B593" s="140"/>
      <c r="C593" s="168"/>
      <c r="D593" s="132"/>
      <c r="E593" s="132"/>
      <c r="F593" s="132"/>
      <c r="G593" s="132"/>
      <c r="H593" s="132"/>
      <c r="I593" s="132"/>
      <c r="J593" s="132"/>
      <c r="K593" s="132"/>
      <c r="L593" s="132"/>
      <c r="M593" s="132"/>
      <c r="N593" s="140"/>
      <c r="O593" s="132"/>
      <c r="P593" s="132"/>
      <c r="Q593" s="132"/>
      <c r="R593" s="132"/>
      <c r="S593" s="132"/>
      <c r="T593" s="132"/>
      <c r="U593" s="132"/>
      <c r="V593" s="132"/>
      <c r="W593" s="132"/>
      <c r="X593" s="132"/>
      <c r="Y593" s="132"/>
      <c r="Z593" s="132"/>
      <c r="AA593" s="132"/>
      <c r="AB593" s="132"/>
      <c r="AC593" s="132"/>
      <c r="AD593" s="132"/>
      <c r="AE593" s="132"/>
      <c r="AF593" s="132"/>
      <c r="AG593" s="132"/>
      <c r="AH593" s="132"/>
      <c r="AI593" s="132"/>
      <c r="AJ593" s="132"/>
      <c r="AK593" s="132"/>
      <c r="AL593" s="132"/>
      <c r="AM593" s="132"/>
      <c r="AN593" s="132"/>
      <c r="AO593" s="132"/>
      <c r="AP593" s="132"/>
      <c r="AQ593" s="141"/>
      <c r="AR593" s="132"/>
      <c r="AS593" s="132"/>
      <c r="AT593" s="47"/>
      <c r="AU593" s="7"/>
      <c r="AV593" s="134"/>
      <c r="AW593" s="132"/>
      <c r="AX593" s="132"/>
      <c r="AY593" s="132"/>
      <c r="AZ593" s="132"/>
      <c r="BA593" s="10"/>
      <c r="BB593" s="134"/>
      <c r="BC593" s="132"/>
      <c r="BD593" s="132"/>
      <c r="BE593" s="132"/>
      <c r="BF593" s="132"/>
      <c r="BG593" s="11"/>
      <c r="BH593" s="134"/>
      <c r="BI593" s="132"/>
      <c r="BJ593" s="132"/>
      <c r="BK593" s="132"/>
      <c r="BL593" s="132"/>
    </row>
    <row r="594" customFormat="false" ht="13.8" hidden="false" customHeight="false" outlineLevel="0" collapsed="false">
      <c r="A594" s="140"/>
      <c r="B594" s="140"/>
      <c r="C594" s="168"/>
      <c r="D594" s="132"/>
      <c r="E594" s="132"/>
      <c r="F594" s="132"/>
      <c r="G594" s="132"/>
      <c r="H594" s="132"/>
      <c r="I594" s="132"/>
      <c r="J594" s="132"/>
      <c r="K594" s="132"/>
      <c r="L594" s="132"/>
      <c r="M594" s="132"/>
      <c r="N594" s="140"/>
      <c r="O594" s="132"/>
      <c r="P594" s="132"/>
      <c r="Q594" s="132"/>
      <c r="R594" s="132"/>
      <c r="S594" s="132"/>
      <c r="T594" s="132"/>
      <c r="U594" s="132"/>
      <c r="V594" s="132"/>
      <c r="W594" s="132"/>
      <c r="X594" s="132"/>
      <c r="Y594" s="132"/>
      <c r="Z594" s="132"/>
      <c r="AA594" s="132"/>
      <c r="AB594" s="132"/>
      <c r="AC594" s="132"/>
      <c r="AD594" s="132"/>
      <c r="AE594" s="132"/>
      <c r="AF594" s="132"/>
      <c r="AG594" s="132"/>
      <c r="AH594" s="132"/>
      <c r="AI594" s="132"/>
      <c r="AJ594" s="132"/>
      <c r="AK594" s="132"/>
      <c r="AL594" s="132"/>
      <c r="AM594" s="132"/>
      <c r="AN594" s="132"/>
      <c r="AO594" s="132"/>
      <c r="AP594" s="132"/>
      <c r="AQ594" s="141"/>
      <c r="AR594" s="132"/>
      <c r="AS594" s="132"/>
      <c r="AT594" s="47"/>
      <c r="AU594" s="7"/>
      <c r="AV594" s="134"/>
      <c r="AW594" s="132"/>
      <c r="AX594" s="132"/>
      <c r="AY594" s="132"/>
      <c r="AZ594" s="132"/>
      <c r="BA594" s="10"/>
      <c r="BB594" s="134"/>
      <c r="BC594" s="132"/>
      <c r="BD594" s="132"/>
      <c r="BE594" s="132"/>
      <c r="BF594" s="132"/>
      <c r="BG594" s="11"/>
      <c r="BH594" s="134"/>
      <c r="BI594" s="132"/>
      <c r="BJ594" s="132"/>
      <c r="BK594" s="132"/>
      <c r="BL594" s="132"/>
    </row>
    <row r="595" customFormat="false" ht="13.8" hidden="false" customHeight="false" outlineLevel="0" collapsed="false">
      <c r="A595" s="140"/>
      <c r="B595" s="140"/>
      <c r="C595" s="168"/>
      <c r="D595" s="132"/>
      <c r="E595" s="132"/>
      <c r="F595" s="132"/>
      <c r="G595" s="132"/>
      <c r="H595" s="132"/>
      <c r="I595" s="132"/>
      <c r="J595" s="132"/>
      <c r="K595" s="132"/>
      <c r="L595" s="132"/>
      <c r="M595" s="132"/>
      <c r="N595" s="140"/>
      <c r="O595" s="132"/>
      <c r="P595" s="132"/>
      <c r="Q595" s="132"/>
      <c r="R595" s="132"/>
      <c r="S595" s="132"/>
      <c r="T595" s="132"/>
      <c r="U595" s="132"/>
      <c r="V595" s="132"/>
      <c r="W595" s="132"/>
      <c r="X595" s="132"/>
      <c r="Y595" s="132"/>
      <c r="Z595" s="132"/>
      <c r="AA595" s="132"/>
      <c r="AB595" s="132"/>
      <c r="AC595" s="132"/>
      <c r="AD595" s="132"/>
      <c r="AE595" s="132"/>
      <c r="AF595" s="132"/>
      <c r="AG595" s="132"/>
      <c r="AH595" s="132"/>
      <c r="AI595" s="132"/>
      <c r="AJ595" s="132"/>
      <c r="AK595" s="132"/>
      <c r="AL595" s="132"/>
      <c r="AM595" s="132"/>
      <c r="AN595" s="132"/>
      <c r="AO595" s="132"/>
      <c r="AP595" s="132"/>
      <c r="AQ595" s="141"/>
      <c r="AR595" s="132"/>
      <c r="AS595" s="132"/>
      <c r="AT595" s="47"/>
      <c r="AU595" s="7"/>
      <c r="AV595" s="134"/>
      <c r="AW595" s="132"/>
      <c r="AX595" s="132"/>
      <c r="AY595" s="132"/>
      <c r="AZ595" s="132"/>
      <c r="BA595" s="10"/>
      <c r="BB595" s="134"/>
      <c r="BC595" s="132"/>
      <c r="BD595" s="132"/>
      <c r="BE595" s="132"/>
      <c r="BF595" s="132"/>
      <c r="BG595" s="11"/>
      <c r="BH595" s="134"/>
      <c r="BI595" s="132"/>
      <c r="BJ595" s="132"/>
      <c r="BK595" s="132"/>
      <c r="BL595" s="132"/>
    </row>
    <row r="596" customFormat="false" ht="13.8" hidden="false" customHeight="false" outlineLevel="0" collapsed="false">
      <c r="A596" s="140"/>
      <c r="B596" s="140"/>
      <c r="C596" s="168"/>
      <c r="D596" s="132"/>
      <c r="E596" s="132"/>
      <c r="F596" s="132"/>
      <c r="G596" s="132"/>
      <c r="H596" s="132"/>
      <c r="I596" s="132"/>
      <c r="J596" s="132"/>
      <c r="K596" s="132"/>
      <c r="L596" s="132"/>
      <c r="M596" s="132"/>
      <c r="N596" s="140"/>
      <c r="O596" s="132"/>
      <c r="P596" s="132"/>
      <c r="Q596" s="132"/>
      <c r="R596" s="132"/>
      <c r="S596" s="132"/>
      <c r="T596" s="132"/>
      <c r="U596" s="132"/>
      <c r="V596" s="132"/>
      <c r="W596" s="132"/>
      <c r="X596" s="132"/>
      <c r="Y596" s="132"/>
      <c r="Z596" s="132"/>
      <c r="AA596" s="132"/>
      <c r="AB596" s="132"/>
      <c r="AC596" s="132"/>
      <c r="AD596" s="132"/>
      <c r="AE596" s="132"/>
      <c r="AF596" s="132"/>
      <c r="AG596" s="132"/>
      <c r="AH596" s="132"/>
      <c r="AI596" s="132"/>
      <c r="AJ596" s="132"/>
      <c r="AK596" s="132"/>
      <c r="AL596" s="132"/>
      <c r="AM596" s="132"/>
      <c r="AN596" s="132"/>
      <c r="AO596" s="132"/>
      <c r="AP596" s="132"/>
      <c r="AQ596" s="141"/>
      <c r="AR596" s="132"/>
      <c r="AS596" s="132"/>
      <c r="AT596" s="47"/>
      <c r="AU596" s="7"/>
      <c r="AV596" s="134"/>
      <c r="AW596" s="132"/>
      <c r="AX596" s="132"/>
      <c r="AY596" s="132"/>
      <c r="AZ596" s="132"/>
      <c r="BA596" s="10"/>
      <c r="BB596" s="134"/>
      <c r="BC596" s="132"/>
      <c r="BD596" s="132"/>
      <c r="BE596" s="132"/>
      <c r="BF596" s="132"/>
      <c r="BG596" s="11"/>
      <c r="BH596" s="134"/>
      <c r="BI596" s="132"/>
      <c r="BJ596" s="132"/>
      <c r="BK596" s="132"/>
      <c r="BL596" s="132"/>
    </row>
    <row r="597" customFormat="false" ht="13.8" hidden="false" customHeight="false" outlineLevel="0" collapsed="false">
      <c r="A597" s="140"/>
      <c r="B597" s="140"/>
      <c r="C597" s="168"/>
      <c r="D597" s="132"/>
      <c r="E597" s="132"/>
      <c r="F597" s="132"/>
      <c r="G597" s="132"/>
      <c r="H597" s="132"/>
      <c r="I597" s="132"/>
      <c r="J597" s="132"/>
      <c r="K597" s="132"/>
      <c r="L597" s="132"/>
      <c r="M597" s="132"/>
      <c r="N597" s="140"/>
      <c r="O597" s="132"/>
      <c r="P597" s="132"/>
      <c r="Q597" s="132"/>
      <c r="R597" s="132"/>
      <c r="S597" s="132"/>
      <c r="T597" s="132"/>
      <c r="U597" s="132"/>
      <c r="V597" s="132"/>
      <c r="W597" s="132"/>
      <c r="X597" s="132"/>
      <c r="Y597" s="132"/>
      <c r="Z597" s="132"/>
      <c r="AA597" s="132"/>
      <c r="AB597" s="132"/>
      <c r="AC597" s="132"/>
      <c r="AD597" s="132"/>
      <c r="AE597" s="132"/>
      <c r="AF597" s="132"/>
      <c r="AG597" s="132"/>
      <c r="AH597" s="132"/>
      <c r="AI597" s="132"/>
      <c r="AJ597" s="132"/>
      <c r="AK597" s="132"/>
      <c r="AL597" s="132"/>
      <c r="AM597" s="132"/>
      <c r="AN597" s="132"/>
      <c r="AO597" s="132"/>
      <c r="AP597" s="132"/>
      <c r="AQ597" s="141"/>
      <c r="AR597" s="132"/>
      <c r="AS597" s="132"/>
      <c r="AT597" s="47"/>
      <c r="AU597" s="7"/>
      <c r="AV597" s="134"/>
      <c r="AW597" s="132"/>
      <c r="AX597" s="132"/>
      <c r="AY597" s="132"/>
      <c r="AZ597" s="132"/>
      <c r="BA597" s="10"/>
      <c r="BB597" s="134"/>
      <c r="BC597" s="132"/>
      <c r="BD597" s="132"/>
      <c r="BE597" s="132"/>
      <c r="BF597" s="132"/>
      <c r="BG597" s="11"/>
      <c r="BH597" s="134"/>
      <c r="BI597" s="132"/>
      <c r="BJ597" s="132"/>
      <c r="BK597" s="132"/>
      <c r="BL597" s="132"/>
    </row>
    <row r="598" customFormat="false" ht="13.8" hidden="false" customHeight="false" outlineLevel="0" collapsed="false">
      <c r="A598" s="140"/>
      <c r="B598" s="140"/>
      <c r="C598" s="168"/>
      <c r="D598" s="132"/>
      <c r="E598" s="132"/>
      <c r="F598" s="132"/>
      <c r="G598" s="132"/>
      <c r="H598" s="132"/>
      <c r="I598" s="132"/>
      <c r="J598" s="132"/>
      <c r="K598" s="132"/>
      <c r="L598" s="132"/>
      <c r="M598" s="132"/>
      <c r="N598" s="140"/>
      <c r="O598" s="132"/>
      <c r="P598" s="132"/>
      <c r="Q598" s="132"/>
      <c r="R598" s="132"/>
      <c r="S598" s="132"/>
      <c r="T598" s="132"/>
      <c r="U598" s="132"/>
      <c r="V598" s="132"/>
      <c r="W598" s="132"/>
      <c r="X598" s="132"/>
      <c r="Y598" s="132"/>
      <c r="Z598" s="132"/>
      <c r="AA598" s="132"/>
      <c r="AB598" s="132"/>
      <c r="AC598" s="132"/>
      <c r="AD598" s="132"/>
      <c r="AE598" s="132"/>
      <c r="AF598" s="132"/>
      <c r="AG598" s="132"/>
      <c r="AH598" s="132"/>
      <c r="AI598" s="132"/>
      <c r="AJ598" s="132"/>
      <c r="AK598" s="132"/>
      <c r="AL598" s="132"/>
      <c r="AM598" s="132"/>
      <c r="AN598" s="132"/>
      <c r="AO598" s="132"/>
      <c r="AP598" s="132"/>
      <c r="AQ598" s="141"/>
      <c r="AR598" s="132"/>
      <c r="AS598" s="132"/>
      <c r="AT598" s="47"/>
      <c r="AU598" s="7"/>
      <c r="AV598" s="134"/>
      <c r="AW598" s="132"/>
      <c r="AX598" s="132"/>
      <c r="AY598" s="132"/>
      <c r="AZ598" s="132"/>
      <c r="BA598" s="10"/>
      <c r="BB598" s="134"/>
      <c r="BC598" s="132"/>
      <c r="BD598" s="132"/>
      <c r="BE598" s="132"/>
      <c r="BF598" s="132"/>
      <c r="BG598" s="11"/>
      <c r="BH598" s="134"/>
      <c r="BI598" s="132"/>
      <c r="BJ598" s="132"/>
      <c r="BK598" s="132"/>
      <c r="BL598" s="132"/>
    </row>
    <row r="599" customFormat="false" ht="13.8" hidden="false" customHeight="false" outlineLevel="0" collapsed="false">
      <c r="A599" s="140"/>
      <c r="B599" s="140"/>
      <c r="C599" s="168"/>
      <c r="D599" s="132"/>
      <c r="E599" s="132"/>
      <c r="F599" s="132"/>
      <c r="G599" s="132"/>
      <c r="H599" s="132"/>
      <c r="I599" s="132"/>
      <c r="J599" s="132"/>
      <c r="K599" s="132"/>
      <c r="L599" s="132"/>
      <c r="M599" s="132"/>
      <c r="N599" s="140"/>
      <c r="O599" s="132"/>
      <c r="P599" s="132"/>
      <c r="Q599" s="132"/>
      <c r="R599" s="132"/>
      <c r="S599" s="132"/>
      <c r="T599" s="132"/>
      <c r="U599" s="132"/>
      <c r="V599" s="132"/>
      <c r="W599" s="132"/>
      <c r="X599" s="132"/>
      <c r="Y599" s="132"/>
      <c r="Z599" s="132"/>
      <c r="AA599" s="132"/>
      <c r="AB599" s="132"/>
      <c r="AC599" s="132"/>
      <c r="AD599" s="132"/>
      <c r="AE599" s="132"/>
      <c r="AF599" s="132"/>
      <c r="AG599" s="132"/>
      <c r="AH599" s="132"/>
      <c r="AI599" s="132"/>
      <c r="AJ599" s="132"/>
      <c r="AK599" s="132"/>
      <c r="AL599" s="132"/>
      <c r="AM599" s="132"/>
      <c r="AN599" s="132"/>
      <c r="AO599" s="132"/>
      <c r="AP599" s="132"/>
      <c r="AQ599" s="141"/>
      <c r="AR599" s="132"/>
      <c r="AS599" s="132"/>
      <c r="AT599" s="47"/>
      <c r="AU599" s="7"/>
      <c r="AV599" s="134"/>
      <c r="AW599" s="132"/>
      <c r="AX599" s="132"/>
      <c r="AY599" s="132"/>
      <c r="AZ599" s="132"/>
      <c r="BA599" s="10"/>
      <c r="BB599" s="134"/>
      <c r="BC599" s="132"/>
      <c r="BD599" s="132"/>
      <c r="BE599" s="132"/>
      <c r="BF599" s="132"/>
      <c r="BG599" s="11"/>
      <c r="BH599" s="134"/>
      <c r="BI599" s="132"/>
      <c r="BJ599" s="132"/>
      <c r="BK599" s="132"/>
      <c r="BL599" s="132"/>
    </row>
    <row r="600" customFormat="false" ht="13.8" hidden="false" customHeight="false" outlineLevel="0" collapsed="false">
      <c r="A600" s="140"/>
      <c r="B600" s="140"/>
      <c r="C600" s="168"/>
      <c r="D600" s="132"/>
      <c r="E600" s="132"/>
      <c r="F600" s="132"/>
      <c r="G600" s="132"/>
      <c r="H600" s="132"/>
      <c r="I600" s="132"/>
      <c r="J600" s="132"/>
      <c r="K600" s="132"/>
      <c r="L600" s="132"/>
      <c r="M600" s="132"/>
      <c r="N600" s="140"/>
      <c r="O600" s="132"/>
      <c r="P600" s="132"/>
      <c r="Q600" s="132"/>
      <c r="R600" s="132"/>
      <c r="S600" s="132"/>
      <c r="T600" s="132"/>
      <c r="U600" s="132"/>
      <c r="V600" s="132"/>
      <c r="W600" s="132"/>
      <c r="X600" s="132"/>
      <c r="Y600" s="132"/>
      <c r="Z600" s="132"/>
      <c r="AA600" s="132"/>
      <c r="AB600" s="132"/>
      <c r="AC600" s="132"/>
      <c r="AD600" s="132"/>
      <c r="AE600" s="132"/>
      <c r="AF600" s="132"/>
      <c r="AG600" s="132"/>
      <c r="AH600" s="132"/>
      <c r="AI600" s="132"/>
      <c r="AJ600" s="132"/>
      <c r="AK600" s="132"/>
      <c r="AL600" s="132"/>
      <c r="AM600" s="132"/>
      <c r="AN600" s="132"/>
      <c r="AO600" s="132"/>
      <c r="AP600" s="132"/>
      <c r="AQ600" s="141"/>
      <c r="AR600" s="132"/>
      <c r="AS600" s="132"/>
      <c r="AT600" s="47"/>
      <c r="AU600" s="7"/>
      <c r="AV600" s="134"/>
      <c r="AW600" s="132"/>
      <c r="AX600" s="132"/>
      <c r="AY600" s="132"/>
      <c r="AZ600" s="132"/>
      <c r="BA600" s="10"/>
      <c r="BB600" s="134"/>
      <c r="BC600" s="132"/>
      <c r="BD600" s="132"/>
      <c r="BE600" s="132"/>
      <c r="BF600" s="132"/>
      <c r="BG600" s="11"/>
      <c r="BH600" s="134"/>
      <c r="BI600" s="132"/>
      <c r="BJ600" s="132"/>
      <c r="BK600" s="132"/>
      <c r="BL600" s="132"/>
    </row>
    <row r="601" customFormat="false" ht="13.8" hidden="false" customHeight="false" outlineLevel="0" collapsed="false">
      <c r="A601" s="140"/>
      <c r="B601" s="140"/>
      <c r="C601" s="168"/>
      <c r="D601" s="132"/>
      <c r="E601" s="132"/>
      <c r="F601" s="132"/>
      <c r="G601" s="132"/>
      <c r="H601" s="132"/>
      <c r="I601" s="132"/>
      <c r="J601" s="132"/>
      <c r="K601" s="132"/>
      <c r="L601" s="132"/>
      <c r="M601" s="132"/>
      <c r="N601" s="140"/>
      <c r="O601" s="132"/>
      <c r="P601" s="132"/>
      <c r="Q601" s="132"/>
      <c r="R601" s="132"/>
      <c r="S601" s="132"/>
      <c r="T601" s="132"/>
      <c r="U601" s="132"/>
      <c r="V601" s="132"/>
      <c r="W601" s="132"/>
      <c r="X601" s="132"/>
      <c r="Y601" s="132"/>
      <c r="Z601" s="132"/>
      <c r="AA601" s="132"/>
      <c r="AB601" s="132"/>
      <c r="AC601" s="132"/>
      <c r="AD601" s="132"/>
      <c r="AE601" s="132"/>
      <c r="AF601" s="132"/>
      <c r="AG601" s="132"/>
      <c r="AH601" s="132"/>
      <c r="AI601" s="132"/>
      <c r="AJ601" s="132"/>
      <c r="AK601" s="132"/>
      <c r="AL601" s="132"/>
      <c r="AM601" s="132"/>
      <c r="AN601" s="132"/>
      <c r="AO601" s="132"/>
      <c r="AP601" s="132"/>
      <c r="AQ601" s="141"/>
      <c r="AR601" s="132"/>
      <c r="AS601" s="132"/>
      <c r="AT601" s="47"/>
      <c r="AU601" s="7"/>
      <c r="AV601" s="134"/>
      <c r="AW601" s="132"/>
      <c r="AX601" s="132"/>
      <c r="AY601" s="132"/>
      <c r="AZ601" s="132"/>
      <c r="BA601" s="10"/>
      <c r="BB601" s="134"/>
      <c r="BC601" s="132"/>
      <c r="BD601" s="132"/>
      <c r="BE601" s="132"/>
      <c r="BF601" s="132"/>
      <c r="BG601" s="11"/>
      <c r="BH601" s="134"/>
      <c r="BI601" s="132"/>
      <c r="BJ601" s="132"/>
      <c r="BK601" s="132"/>
      <c r="BL601" s="132"/>
    </row>
    <row r="602" customFormat="false" ht="13.8" hidden="false" customHeight="false" outlineLevel="0" collapsed="false">
      <c r="A602" s="140"/>
      <c r="B602" s="140"/>
      <c r="C602" s="168"/>
      <c r="D602" s="132"/>
      <c r="E602" s="132"/>
      <c r="F602" s="132"/>
      <c r="G602" s="132"/>
      <c r="H602" s="132"/>
      <c r="I602" s="132"/>
      <c r="J602" s="132"/>
      <c r="K602" s="132"/>
      <c r="L602" s="132"/>
      <c r="M602" s="132"/>
      <c r="N602" s="140"/>
      <c r="O602" s="132"/>
      <c r="P602" s="132"/>
      <c r="Q602" s="132"/>
      <c r="R602" s="132"/>
      <c r="S602" s="132"/>
      <c r="T602" s="132"/>
      <c r="U602" s="132"/>
      <c r="V602" s="132"/>
      <c r="W602" s="132"/>
      <c r="X602" s="132"/>
      <c r="Y602" s="132"/>
      <c r="Z602" s="132"/>
      <c r="AA602" s="132"/>
      <c r="AB602" s="132"/>
      <c r="AC602" s="132"/>
      <c r="AD602" s="132"/>
      <c r="AE602" s="132"/>
      <c r="AF602" s="132"/>
      <c r="AG602" s="132"/>
      <c r="AH602" s="132"/>
      <c r="AI602" s="132"/>
      <c r="AJ602" s="132"/>
      <c r="AK602" s="132"/>
      <c r="AL602" s="132"/>
      <c r="AM602" s="132"/>
      <c r="AN602" s="132"/>
      <c r="AO602" s="132"/>
      <c r="AP602" s="132"/>
      <c r="AQ602" s="141"/>
      <c r="AR602" s="132"/>
      <c r="AS602" s="132"/>
      <c r="AT602" s="47"/>
      <c r="AU602" s="7"/>
      <c r="AV602" s="134"/>
      <c r="AW602" s="132"/>
      <c r="AX602" s="132"/>
      <c r="AY602" s="132"/>
      <c r="AZ602" s="132"/>
      <c r="BA602" s="10"/>
      <c r="BB602" s="134"/>
      <c r="BC602" s="132"/>
      <c r="BD602" s="132"/>
      <c r="BE602" s="132"/>
      <c r="BF602" s="132"/>
      <c r="BG602" s="11"/>
      <c r="BH602" s="134"/>
      <c r="BI602" s="132"/>
      <c r="BJ602" s="132"/>
      <c r="BK602" s="132"/>
      <c r="BL602" s="132"/>
    </row>
    <row r="603" customFormat="false" ht="13.8" hidden="false" customHeight="false" outlineLevel="0" collapsed="false">
      <c r="A603" s="140"/>
      <c r="B603" s="140"/>
      <c r="C603" s="168"/>
      <c r="D603" s="132"/>
      <c r="E603" s="132"/>
      <c r="F603" s="132"/>
      <c r="G603" s="132"/>
      <c r="H603" s="132"/>
      <c r="I603" s="132"/>
      <c r="J603" s="132"/>
      <c r="K603" s="132"/>
      <c r="L603" s="132"/>
      <c r="M603" s="132"/>
      <c r="N603" s="140"/>
      <c r="O603" s="132"/>
      <c r="P603" s="132"/>
      <c r="Q603" s="132"/>
      <c r="R603" s="132"/>
      <c r="S603" s="132"/>
      <c r="T603" s="132"/>
      <c r="U603" s="132"/>
      <c r="V603" s="132"/>
      <c r="W603" s="132"/>
      <c r="X603" s="132"/>
      <c r="Y603" s="132"/>
      <c r="Z603" s="132"/>
      <c r="AA603" s="132"/>
      <c r="AB603" s="132"/>
      <c r="AC603" s="132"/>
      <c r="AD603" s="132"/>
      <c r="AE603" s="132"/>
      <c r="AF603" s="132"/>
      <c r="AG603" s="132"/>
      <c r="AH603" s="132"/>
      <c r="AI603" s="132"/>
      <c r="AJ603" s="132"/>
      <c r="AK603" s="132"/>
      <c r="AL603" s="132"/>
      <c r="AM603" s="132"/>
      <c r="AN603" s="132"/>
      <c r="AO603" s="132"/>
      <c r="AP603" s="132"/>
      <c r="AQ603" s="141"/>
      <c r="AR603" s="132"/>
      <c r="AS603" s="132"/>
      <c r="AT603" s="47"/>
      <c r="AU603" s="7"/>
      <c r="AV603" s="134"/>
      <c r="AW603" s="132"/>
      <c r="AX603" s="132"/>
      <c r="AY603" s="132"/>
      <c r="AZ603" s="132"/>
      <c r="BA603" s="10"/>
      <c r="BB603" s="134"/>
      <c r="BC603" s="132"/>
      <c r="BD603" s="132"/>
      <c r="BE603" s="132"/>
      <c r="BF603" s="132"/>
      <c r="BG603" s="11"/>
      <c r="BH603" s="134"/>
      <c r="BI603" s="132"/>
      <c r="BJ603" s="132"/>
      <c r="BK603" s="132"/>
      <c r="BL603" s="132"/>
    </row>
    <row r="604" customFormat="false" ht="13.8" hidden="false" customHeight="false" outlineLevel="0" collapsed="false">
      <c r="A604" s="140"/>
      <c r="B604" s="140"/>
      <c r="C604" s="168"/>
      <c r="D604" s="132"/>
      <c r="E604" s="132"/>
      <c r="F604" s="132"/>
      <c r="G604" s="132"/>
      <c r="H604" s="132"/>
      <c r="I604" s="132"/>
      <c r="J604" s="132"/>
      <c r="K604" s="132"/>
      <c r="L604" s="132"/>
      <c r="M604" s="132"/>
      <c r="N604" s="140"/>
      <c r="O604" s="132"/>
      <c r="P604" s="132"/>
      <c r="Q604" s="132"/>
      <c r="R604" s="132"/>
      <c r="S604" s="132"/>
      <c r="T604" s="132"/>
      <c r="U604" s="132"/>
      <c r="V604" s="132"/>
      <c r="W604" s="132"/>
      <c r="X604" s="132"/>
      <c r="Y604" s="132"/>
      <c r="Z604" s="132"/>
      <c r="AA604" s="132"/>
      <c r="AB604" s="132"/>
      <c r="AC604" s="132"/>
      <c r="AD604" s="132"/>
      <c r="AE604" s="132"/>
      <c r="AF604" s="132"/>
      <c r="AG604" s="132"/>
      <c r="AH604" s="132"/>
      <c r="AI604" s="132"/>
      <c r="AJ604" s="132"/>
      <c r="AK604" s="132"/>
      <c r="AL604" s="132"/>
      <c r="AM604" s="132"/>
      <c r="AN604" s="132"/>
      <c r="AO604" s="132"/>
      <c r="AP604" s="132"/>
      <c r="AQ604" s="141"/>
      <c r="AR604" s="132"/>
      <c r="AS604" s="132"/>
      <c r="AT604" s="47"/>
      <c r="AU604" s="7"/>
      <c r="AV604" s="134"/>
      <c r="AW604" s="132"/>
      <c r="AX604" s="132"/>
      <c r="AY604" s="132"/>
      <c r="AZ604" s="132"/>
      <c r="BA604" s="10"/>
      <c r="BB604" s="134"/>
      <c r="BC604" s="132"/>
      <c r="BD604" s="132"/>
      <c r="BE604" s="132"/>
      <c r="BF604" s="132"/>
      <c r="BG604" s="11"/>
      <c r="BH604" s="134"/>
      <c r="BI604" s="132"/>
      <c r="BJ604" s="132"/>
      <c r="BK604" s="132"/>
      <c r="BL604" s="132"/>
    </row>
    <row r="605" customFormat="false" ht="13.8" hidden="false" customHeight="false" outlineLevel="0" collapsed="false">
      <c r="A605" s="140"/>
      <c r="B605" s="140"/>
      <c r="C605" s="168"/>
      <c r="D605" s="132"/>
      <c r="E605" s="132"/>
      <c r="F605" s="132"/>
      <c r="G605" s="132"/>
      <c r="H605" s="132"/>
      <c r="I605" s="132"/>
      <c r="J605" s="132"/>
      <c r="K605" s="132"/>
      <c r="L605" s="132"/>
      <c r="M605" s="132"/>
      <c r="N605" s="140"/>
      <c r="O605" s="132"/>
      <c r="P605" s="132"/>
      <c r="Q605" s="132"/>
      <c r="R605" s="132"/>
      <c r="S605" s="132"/>
      <c r="T605" s="132"/>
      <c r="U605" s="132"/>
      <c r="V605" s="132"/>
      <c r="W605" s="132"/>
      <c r="X605" s="132"/>
      <c r="Y605" s="132"/>
      <c r="Z605" s="132"/>
      <c r="AA605" s="132"/>
      <c r="AB605" s="132"/>
      <c r="AC605" s="132"/>
      <c r="AD605" s="132"/>
      <c r="AE605" s="132"/>
      <c r="AF605" s="132"/>
      <c r="AG605" s="132"/>
      <c r="AH605" s="132"/>
      <c r="AI605" s="132"/>
      <c r="AJ605" s="132"/>
      <c r="AK605" s="132"/>
      <c r="AL605" s="132"/>
      <c r="AM605" s="132"/>
      <c r="AN605" s="132"/>
      <c r="AO605" s="132"/>
      <c r="AP605" s="132"/>
      <c r="AQ605" s="141"/>
      <c r="AR605" s="132"/>
      <c r="AS605" s="132"/>
      <c r="AT605" s="47"/>
      <c r="AU605" s="7"/>
      <c r="AV605" s="134"/>
      <c r="AW605" s="132"/>
      <c r="AX605" s="132"/>
      <c r="AY605" s="132"/>
      <c r="AZ605" s="132"/>
      <c r="BA605" s="10"/>
      <c r="BB605" s="134"/>
      <c r="BC605" s="132"/>
      <c r="BD605" s="132"/>
      <c r="BE605" s="132"/>
      <c r="BF605" s="132"/>
      <c r="BG605" s="11"/>
      <c r="BH605" s="134"/>
      <c r="BI605" s="132"/>
      <c r="BJ605" s="132"/>
      <c r="BK605" s="132"/>
      <c r="BL605" s="132"/>
    </row>
    <row r="606" customFormat="false" ht="13.8" hidden="false" customHeight="false" outlineLevel="0" collapsed="false">
      <c r="A606" s="140"/>
      <c r="B606" s="140"/>
      <c r="C606" s="168"/>
      <c r="D606" s="132"/>
      <c r="E606" s="132"/>
      <c r="F606" s="132"/>
      <c r="G606" s="132"/>
      <c r="H606" s="132"/>
      <c r="I606" s="132"/>
      <c r="J606" s="132"/>
      <c r="K606" s="132"/>
      <c r="L606" s="132"/>
      <c r="M606" s="132"/>
      <c r="N606" s="140"/>
      <c r="O606" s="132"/>
      <c r="P606" s="132"/>
      <c r="Q606" s="132"/>
      <c r="R606" s="132"/>
      <c r="S606" s="132"/>
      <c r="T606" s="132"/>
      <c r="U606" s="132"/>
      <c r="V606" s="132"/>
      <c r="W606" s="132"/>
      <c r="X606" s="132"/>
      <c r="Y606" s="132"/>
      <c r="Z606" s="132"/>
      <c r="AA606" s="132"/>
      <c r="AB606" s="132"/>
      <c r="AC606" s="132"/>
      <c r="AD606" s="132"/>
      <c r="AE606" s="132"/>
      <c r="AF606" s="132"/>
      <c r="AG606" s="132"/>
      <c r="AH606" s="132"/>
      <c r="AI606" s="132"/>
      <c r="AJ606" s="132"/>
      <c r="AK606" s="132"/>
      <c r="AL606" s="132"/>
      <c r="AM606" s="132"/>
      <c r="AN606" s="132"/>
      <c r="AO606" s="132"/>
      <c r="AP606" s="132"/>
      <c r="AQ606" s="141"/>
      <c r="AR606" s="132"/>
      <c r="AS606" s="132"/>
      <c r="AT606" s="47"/>
      <c r="AU606" s="7"/>
      <c r="AV606" s="134"/>
      <c r="AW606" s="132"/>
      <c r="AX606" s="132"/>
      <c r="AY606" s="132"/>
      <c r="AZ606" s="132"/>
      <c r="BA606" s="10"/>
      <c r="BB606" s="134"/>
      <c r="BC606" s="132"/>
      <c r="BD606" s="132"/>
      <c r="BE606" s="132"/>
      <c r="BF606" s="132"/>
      <c r="BG606" s="11"/>
      <c r="BH606" s="134"/>
      <c r="BI606" s="132"/>
      <c r="BJ606" s="132"/>
      <c r="BK606" s="132"/>
      <c r="BL606" s="132"/>
    </row>
    <row r="607" customFormat="false" ht="13.8" hidden="false" customHeight="false" outlineLevel="0" collapsed="false">
      <c r="A607" s="140"/>
      <c r="B607" s="140"/>
      <c r="C607" s="168"/>
      <c r="D607" s="132"/>
      <c r="E607" s="132"/>
      <c r="F607" s="132"/>
      <c r="G607" s="132"/>
      <c r="H607" s="132"/>
      <c r="I607" s="132"/>
      <c r="J607" s="132"/>
      <c r="K607" s="132"/>
      <c r="L607" s="132"/>
      <c r="M607" s="132"/>
      <c r="N607" s="140"/>
      <c r="O607" s="132"/>
      <c r="P607" s="132"/>
      <c r="Q607" s="132"/>
      <c r="R607" s="132"/>
      <c r="S607" s="132"/>
      <c r="T607" s="132"/>
      <c r="U607" s="132"/>
      <c r="V607" s="132"/>
      <c r="W607" s="132"/>
      <c r="X607" s="132"/>
      <c r="Y607" s="132"/>
      <c r="Z607" s="132"/>
      <c r="AA607" s="132"/>
      <c r="AB607" s="132"/>
      <c r="AC607" s="132"/>
      <c r="AD607" s="132"/>
      <c r="AE607" s="132"/>
      <c r="AF607" s="132"/>
      <c r="AG607" s="132"/>
      <c r="AH607" s="132"/>
      <c r="AI607" s="132"/>
      <c r="AJ607" s="132"/>
      <c r="AK607" s="132"/>
      <c r="AL607" s="132"/>
      <c r="AM607" s="132"/>
      <c r="AN607" s="132"/>
      <c r="AO607" s="132"/>
      <c r="AP607" s="132"/>
      <c r="AQ607" s="141"/>
      <c r="AR607" s="132"/>
      <c r="AS607" s="132"/>
      <c r="AT607" s="47"/>
      <c r="AU607" s="7"/>
      <c r="AV607" s="134"/>
      <c r="AW607" s="132"/>
      <c r="AX607" s="132"/>
      <c r="AY607" s="132"/>
      <c r="AZ607" s="132"/>
      <c r="BA607" s="10"/>
      <c r="BB607" s="134"/>
      <c r="BC607" s="132"/>
      <c r="BD607" s="132"/>
      <c r="BE607" s="132"/>
      <c r="BF607" s="132"/>
      <c r="BG607" s="11"/>
      <c r="BH607" s="134"/>
      <c r="BI607" s="132"/>
      <c r="BJ607" s="132"/>
      <c r="BK607" s="132"/>
      <c r="BL607" s="132"/>
    </row>
    <row r="608" customFormat="false" ht="13.8" hidden="false" customHeight="false" outlineLevel="0" collapsed="false">
      <c r="A608" s="140"/>
      <c r="B608" s="140"/>
      <c r="C608" s="168"/>
      <c r="D608" s="132"/>
      <c r="E608" s="132"/>
      <c r="F608" s="132"/>
      <c r="G608" s="132"/>
      <c r="H608" s="132"/>
      <c r="I608" s="132"/>
      <c r="J608" s="132"/>
      <c r="K608" s="132"/>
      <c r="L608" s="132"/>
      <c r="M608" s="132"/>
      <c r="N608" s="140"/>
      <c r="O608" s="132"/>
      <c r="P608" s="132"/>
      <c r="Q608" s="132"/>
      <c r="R608" s="132"/>
      <c r="S608" s="132"/>
      <c r="T608" s="132"/>
      <c r="U608" s="132"/>
      <c r="V608" s="132"/>
      <c r="W608" s="132"/>
      <c r="X608" s="132"/>
      <c r="Y608" s="132"/>
      <c r="Z608" s="132"/>
      <c r="AA608" s="132"/>
      <c r="AB608" s="132"/>
      <c r="AC608" s="132"/>
      <c r="AD608" s="132"/>
      <c r="AE608" s="132"/>
      <c r="AF608" s="132"/>
      <c r="AG608" s="132"/>
      <c r="AH608" s="132"/>
      <c r="AI608" s="132"/>
      <c r="AJ608" s="132"/>
      <c r="AK608" s="132"/>
      <c r="AL608" s="132"/>
      <c r="AM608" s="132"/>
      <c r="AN608" s="132"/>
      <c r="AO608" s="132"/>
      <c r="AP608" s="132"/>
      <c r="AQ608" s="141"/>
      <c r="AR608" s="132"/>
      <c r="AS608" s="132"/>
      <c r="AT608" s="47"/>
      <c r="AU608" s="7"/>
      <c r="AV608" s="134"/>
      <c r="AW608" s="132"/>
      <c r="AX608" s="132"/>
      <c r="AY608" s="132"/>
      <c r="AZ608" s="132"/>
      <c r="BA608" s="10"/>
      <c r="BB608" s="134"/>
      <c r="BC608" s="132"/>
      <c r="BD608" s="132"/>
      <c r="BE608" s="132"/>
      <c r="BF608" s="132"/>
      <c r="BG608" s="11"/>
      <c r="BH608" s="134"/>
      <c r="BI608" s="132"/>
      <c r="BJ608" s="132"/>
      <c r="BK608" s="132"/>
      <c r="BL608" s="132"/>
    </row>
    <row r="609" customFormat="false" ht="13.8" hidden="false" customHeight="false" outlineLevel="0" collapsed="false">
      <c r="A609" s="140"/>
      <c r="B609" s="140"/>
      <c r="C609" s="168"/>
      <c r="D609" s="132"/>
      <c r="E609" s="132"/>
      <c r="F609" s="132"/>
      <c r="G609" s="132"/>
      <c r="H609" s="132"/>
      <c r="I609" s="132"/>
      <c r="J609" s="132"/>
      <c r="K609" s="132"/>
      <c r="L609" s="132"/>
      <c r="M609" s="132"/>
      <c r="N609" s="140"/>
      <c r="O609" s="132"/>
      <c r="P609" s="132"/>
      <c r="Q609" s="132"/>
      <c r="R609" s="132"/>
      <c r="S609" s="132"/>
      <c r="T609" s="132"/>
      <c r="U609" s="132"/>
      <c r="V609" s="132"/>
      <c r="W609" s="132"/>
      <c r="X609" s="132"/>
      <c r="Y609" s="132"/>
      <c r="Z609" s="132"/>
      <c r="AA609" s="132"/>
      <c r="AB609" s="132"/>
      <c r="AC609" s="132"/>
      <c r="AD609" s="132"/>
      <c r="AE609" s="132"/>
      <c r="AF609" s="132"/>
      <c r="AG609" s="132"/>
      <c r="AH609" s="132"/>
      <c r="AI609" s="132"/>
      <c r="AJ609" s="132"/>
      <c r="AK609" s="132"/>
      <c r="AL609" s="132"/>
      <c r="AM609" s="132"/>
      <c r="AN609" s="132"/>
      <c r="AO609" s="132"/>
      <c r="AP609" s="132"/>
      <c r="AQ609" s="141"/>
      <c r="AR609" s="132"/>
      <c r="AS609" s="132"/>
      <c r="AT609" s="47"/>
      <c r="AU609" s="7"/>
      <c r="AV609" s="134"/>
      <c r="AW609" s="132"/>
      <c r="AX609" s="132"/>
      <c r="AY609" s="132"/>
      <c r="AZ609" s="132"/>
      <c r="BA609" s="10"/>
      <c r="BB609" s="134"/>
      <c r="BC609" s="132"/>
      <c r="BD609" s="132"/>
      <c r="BE609" s="132"/>
      <c r="BF609" s="132"/>
      <c r="BG609" s="11"/>
      <c r="BH609" s="134"/>
      <c r="BI609" s="132"/>
      <c r="BJ609" s="132"/>
      <c r="BK609" s="132"/>
      <c r="BL609" s="132"/>
    </row>
    <row r="610" customFormat="false" ht="13.8" hidden="false" customHeight="false" outlineLevel="0" collapsed="false">
      <c r="A610" s="140"/>
      <c r="B610" s="140"/>
      <c r="C610" s="168"/>
      <c r="D610" s="132"/>
      <c r="E610" s="132"/>
      <c r="F610" s="132"/>
      <c r="G610" s="132"/>
      <c r="H610" s="132"/>
      <c r="I610" s="132"/>
      <c r="J610" s="132"/>
      <c r="K610" s="132"/>
      <c r="L610" s="132"/>
      <c r="M610" s="132"/>
      <c r="N610" s="140"/>
      <c r="O610" s="132"/>
      <c r="P610" s="132"/>
      <c r="Q610" s="132"/>
      <c r="R610" s="132"/>
      <c r="S610" s="132"/>
      <c r="T610" s="132"/>
      <c r="U610" s="132"/>
      <c r="V610" s="132"/>
      <c r="W610" s="132"/>
      <c r="X610" s="132"/>
      <c r="Y610" s="132"/>
      <c r="Z610" s="132"/>
      <c r="AA610" s="132"/>
      <c r="AB610" s="132"/>
      <c r="AC610" s="132"/>
      <c r="AD610" s="132"/>
      <c r="AE610" s="132"/>
      <c r="AF610" s="132"/>
      <c r="AG610" s="132"/>
      <c r="AH610" s="132"/>
      <c r="AI610" s="132"/>
      <c r="AJ610" s="132"/>
      <c r="AK610" s="132"/>
      <c r="AL610" s="132"/>
      <c r="AM610" s="132"/>
      <c r="AN610" s="132"/>
      <c r="AO610" s="132"/>
      <c r="AP610" s="132"/>
      <c r="AQ610" s="141"/>
      <c r="AR610" s="132"/>
      <c r="AS610" s="132"/>
      <c r="AT610" s="47"/>
      <c r="AU610" s="7"/>
      <c r="AV610" s="134"/>
      <c r="AW610" s="132"/>
      <c r="AX610" s="132"/>
      <c r="AY610" s="132"/>
      <c r="AZ610" s="132"/>
      <c r="BA610" s="10"/>
      <c r="BB610" s="134"/>
      <c r="BC610" s="132"/>
      <c r="BD610" s="132"/>
      <c r="BE610" s="132"/>
      <c r="BF610" s="132"/>
      <c r="BG610" s="11"/>
      <c r="BH610" s="134"/>
      <c r="BI610" s="132"/>
      <c r="BJ610" s="132"/>
      <c r="BK610" s="132"/>
      <c r="BL610" s="132"/>
    </row>
    <row r="611" customFormat="false" ht="13.8" hidden="false" customHeight="false" outlineLevel="0" collapsed="false">
      <c r="A611" s="140"/>
      <c r="B611" s="140"/>
      <c r="C611" s="168"/>
      <c r="D611" s="132"/>
      <c r="E611" s="132"/>
      <c r="F611" s="132"/>
      <c r="G611" s="132"/>
      <c r="H611" s="132"/>
      <c r="I611" s="132"/>
      <c r="J611" s="132"/>
      <c r="K611" s="132"/>
      <c r="L611" s="132"/>
      <c r="M611" s="132"/>
      <c r="N611" s="140"/>
      <c r="O611" s="132"/>
      <c r="P611" s="132"/>
      <c r="Q611" s="132"/>
      <c r="R611" s="132"/>
      <c r="S611" s="132"/>
      <c r="T611" s="132"/>
      <c r="U611" s="132"/>
      <c r="V611" s="132"/>
      <c r="W611" s="132"/>
      <c r="X611" s="132"/>
      <c r="Y611" s="132"/>
      <c r="Z611" s="132"/>
      <c r="AA611" s="132"/>
      <c r="AB611" s="132"/>
      <c r="AC611" s="132"/>
      <c r="AD611" s="132"/>
      <c r="AE611" s="132"/>
      <c r="AF611" s="132"/>
      <c r="AG611" s="132"/>
      <c r="AH611" s="132"/>
      <c r="AI611" s="132"/>
      <c r="AJ611" s="132"/>
      <c r="AK611" s="132"/>
      <c r="AL611" s="132"/>
      <c r="AM611" s="132"/>
      <c r="AN611" s="132"/>
      <c r="AO611" s="132"/>
      <c r="AP611" s="132"/>
      <c r="AQ611" s="141"/>
      <c r="AR611" s="132"/>
      <c r="AS611" s="132"/>
      <c r="AT611" s="47"/>
      <c r="AU611" s="7"/>
      <c r="AV611" s="134"/>
      <c r="AW611" s="132"/>
      <c r="AX611" s="132"/>
      <c r="AY611" s="132"/>
      <c r="AZ611" s="132"/>
      <c r="BA611" s="10"/>
      <c r="BB611" s="134"/>
      <c r="BC611" s="132"/>
      <c r="BD611" s="132"/>
      <c r="BE611" s="132"/>
      <c r="BF611" s="132"/>
      <c r="BG611" s="11"/>
      <c r="BH611" s="134"/>
      <c r="BI611" s="132"/>
      <c r="BJ611" s="132"/>
      <c r="BK611" s="132"/>
      <c r="BL611" s="132"/>
    </row>
    <row r="612" customFormat="false" ht="13.8" hidden="false" customHeight="false" outlineLevel="0" collapsed="false">
      <c r="A612" s="140"/>
      <c r="B612" s="140"/>
      <c r="C612" s="168"/>
      <c r="D612" s="132"/>
      <c r="E612" s="132"/>
      <c r="F612" s="132"/>
      <c r="G612" s="132"/>
      <c r="H612" s="132"/>
      <c r="I612" s="132"/>
      <c r="J612" s="132"/>
      <c r="K612" s="132"/>
      <c r="L612" s="132"/>
      <c r="M612" s="132"/>
      <c r="N612" s="140"/>
      <c r="O612" s="132"/>
      <c r="P612" s="132"/>
      <c r="Q612" s="132"/>
      <c r="R612" s="132"/>
      <c r="S612" s="132"/>
      <c r="T612" s="132"/>
      <c r="U612" s="132"/>
      <c r="V612" s="132"/>
      <c r="W612" s="132"/>
      <c r="X612" s="132"/>
      <c r="Y612" s="132"/>
      <c r="Z612" s="132"/>
      <c r="AA612" s="132"/>
      <c r="AB612" s="132"/>
      <c r="AC612" s="132"/>
      <c r="AD612" s="132"/>
      <c r="AE612" s="132"/>
      <c r="AF612" s="132"/>
      <c r="AG612" s="132"/>
      <c r="AH612" s="132"/>
      <c r="AI612" s="132"/>
      <c r="AJ612" s="132"/>
      <c r="AK612" s="132"/>
      <c r="AL612" s="132"/>
      <c r="AM612" s="132"/>
      <c r="AN612" s="132"/>
      <c r="AO612" s="132"/>
      <c r="AP612" s="132"/>
      <c r="AQ612" s="141"/>
      <c r="AR612" s="132"/>
      <c r="AS612" s="132"/>
      <c r="AT612" s="47"/>
      <c r="AU612" s="7"/>
      <c r="AV612" s="134"/>
      <c r="AW612" s="132"/>
      <c r="AX612" s="132"/>
      <c r="AY612" s="132"/>
      <c r="AZ612" s="132"/>
      <c r="BA612" s="10"/>
      <c r="BB612" s="134"/>
      <c r="BC612" s="132"/>
      <c r="BD612" s="132"/>
      <c r="BE612" s="132"/>
      <c r="BF612" s="132"/>
      <c r="BG612" s="11"/>
      <c r="BH612" s="134"/>
      <c r="BI612" s="132"/>
      <c r="BJ612" s="132"/>
      <c r="BK612" s="132"/>
      <c r="BL612" s="132"/>
    </row>
    <row r="613" customFormat="false" ht="13.8" hidden="false" customHeight="false" outlineLevel="0" collapsed="false">
      <c r="A613" s="140"/>
      <c r="B613" s="140"/>
      <c r="C613" s="168"/>
      <c r="D613" s="132"/>
      <c r="E613" s="132"/>
      <c r="F613" s="132"/>
      <c r="G613" s="132"/>
      <c r="H613" s="132"/>
      <c r="I613" s="132"/>
      <c r="J613" s="132"/>
      <c r="K613" s="132"/>
      <c r="L613" s="132"/>
      <c r="M613" s="132"/>
      <c r="N613" s="140"/>
      <c r="O613" s="132"/>
      <c r="P613" s="132"/>
      <c r="Q613" s="132"/>
      <c r="R613" s="132"/>
      <c r="S613" s="132"/>
      <c r="T613" s="132"/>
      <c r="U613" s="132"/>
      <c r="V613" s="132"/>
      <c r="W613" s="132"/>
      <c r="X613" s="132"/>
      <c r="Y613" s="132"/>
      <c r="Z613" s="132"/>
      <c r="AA613" s="132"/>
      <c r="AB613" s="132"/>
      <c r="AC613" s="132"/>
      <c r="AD613" s="132"/>
      <c r="AE613" s="132"/>
      <c r="AF613" s="132"/>
      <c r="AG613" s="132"/>
      <c r="AH613" s="132"/>
      <c r="AI613" s="132"/>
      <c r="AJ613" s="132"/>
      <c r="AK613" s="132"/>
      <c r="AL613" s="132"/>
      <c r="AM613" s="132"/>
      <c r="AN613" s="132"/>
      <c r="AO613" s="132"/>
      <c r="AP613" s="132"/>
      <c r="AQ613" s="141"/>
      <c r="AR613" s="132"/>
      <c r="AS613" s="132"/>
      <c r="AT613" s="47"/>
      <c r="AU613" s="7"/>
      <c r="AV613" s="134"/>
      <c r="AW613" s="132"/>
      <c r="AX613" s="132"/>
      <c r="AY613" s="132"/>
      <c r="AZ613" s="132"/>
      <c r="BA613" s="10"/>
      <c r="BB613" s="134"/>
      <c r="BC613" s="132"/>
      <c r="BD613" s="132"/>
      <c r="BE613" s="132"/>
      <c r="BF613" s="132"/>
      <c r="BG613" s="11"/>
      <c r="BH613" s="134"/>
      <c r="BI613" s="132"/>
      <c r="BJ613" s="132"/>
      <c r="BK613" s="132"/>
      <c r="BL613" s="132"/>
    </row>
    <row r="614" customFormat="false" ht="13.8" hidden="false" customHeight="false" outlineLevel="0" collapsed="false">
      <c r="A614" s="140"/>
      <c r="B614" s="140"/>
      <c r="C614" s="168"/>
      <c r="D614" s="132"/>
      <c r="E614" s="132"/>
      <c r="F614" s="132"/>
      <c r="G614" s="132"/>
      <c r="H614" s="132"/>
      <c r="I614" s="132"/>
      <c r="J614" s="132"/>
      <c r="K614" s="132"/>
      <c r="L614" s="132"/>
      <c r="M614" s="132"/>
      <c r="N614" s="140"/>
      <c r="O614" s="132"/>
      <c r="P614" s="132"/>
      <c r="Q614" s="132"/>
      <c r="R614" s="132"/>
      <c r="S614" s="132"/>
      <c r="T614" s="132"/>
      <c r="U614" s="132"/>
      <c r="V614" s="132"/>
      <c r="W614" s="132"/>
      <c r="X614" s="132"/>
      <c r="Y614" s="132"/>
      <c r="Z614" s="132"/>
      <c r="AA614" s="132"/>
      <c r="AB614" s="132"/>
      <c r="AC614" s="132"/>
      <c r="AD614" s="132"/>
      <c r="AE614" s="132"/>
      <c r="AF614" s="132"/>
      <c r="AG614" s="132"/>
      <c r="AH614" s="132"/>
      <c r="AI614" s="132"/>
      <c r="AJ614" s="132"/>
      <c r="AK614" s="132"/>
      <c r="AL614" s="132"/>
      <c r="AM614" s="132"/>
      <c r="AN614" s="132"/>
      <c r="AO614" s="132"/>
      <c r="AP614" s="132"/>
      <c r="AQ614" s="141"/>
      <c r="AR614" s="132"/>
      <c r="AS614" s="132"/>
      <c r="AT614" s="47"/>
      <c r="AU614" s="7"/>
      <c r="AV614" s="134"/>
      <c r="AW614" s="132"/>
      <c r="AX614" s="132"/>
      <c r="AY614" s="132"/>
      <c r="AZ614" s="132"/>
      <c r="BA614" s="10"/>
      <c r="BB614" s="134"/>
      <c r="BC614" s="132"/>
      <c r="BD614" s="132"/>
      <c r="BE614" s="132"/>
      <c r="BF614" s="132"/>
      <c r="BG614" s="11"/>
      <c r="BH614" s="134"/>
      <c r="BI614" s="132"/>
      <c r="BJ614" s="132"/>
      <c r="BK614" s="132"/>
      <c r="BL614" s="132"/>
    </row>
    <row r="615" customFormat="false" ht="13.8" hidden="false" customHeight="false" outlineLevel="0" collapsed="false">
      <c r="A615" s="140"/>
      <c r="B615" s="140"/>
      <c r="C615" s="168"/>
      <c r="D615" s="132"/>
      <c r="E615" s="132"/>
      <c r="F615" s="132"/>
      <c r="G615" s="132"/>
      <c r="H615" s="132"/>
      <c r="I615" s="132"/>
      <c r="J615" s="132"/>
      <c r="K615" s="132"/>
      <c r="L615" s="132"/>
      <c r="M615" s="132"/>
      <c r="N615" s="140"/>
      <c r="O615" s="132"/>
      <c r="P615" s="132"/>
      <c r="Q615" s="132"/>
      <c r="R615" s="132"/>
      <c r="S615" s="132"/>
      <c r="T615" s="132"/>
      <c r="U615" s="132"/>
      <c r="V615" s="132"/>
      <c r="W615" s="132"/>
      <c r="X615" s="132"/>
      <c r="Y615" s="132"/>
      <c r="Z615" s="132"/>
      <c r="AA615" s="132"/>
      <c r="AB615" s="132"/>
      <c r="AC615" s="132"/>
      <c r="AD615" s="132"/>
      <c r="AE615" s="132"/>
      <c r="AF615" s="132"/>
      <c r="AG615" s="132"/>
      <c r="AH615" s="132"/>
      <c r="AI615" s="132"/>
      <c r="AJ615" s="132"/>
      <c r="AK615" s="132"/>
      <c r="AL615" s="132"/>
      <c r="AM615" s="132"/>
      <c r="AN615" s="132"/>
      <c r="AO615" s="132"/>
      <c r="AP615" s="132"/>
      <c r="AQ615" s="141"/>
      <c r="AR615" s="132"/>
      <c r="AS615" s="132"/>
      <c r="AT615" s="47"/>
      <c r="AU615" s="7"/>
      <c r="AV615" s="134"/>
      <c r="AW615" s="132"/>
      <c r="AX615" s="132"/>
      <c r="AY615" s="132"/>
      <c r="AZ615" s="132"/>
      <c r="BA615" s="10"/>
      <c r="BB615" s="134"/>
      <c r="BC615" s="132"/>
      <c r="BD615" s="132"/>
      <c r="BE615" s="132"/>
      <c r="BF615" s="132"/>
      <c r="BG615" s="11"/>
      <c r="BH615" s="134"/>
      <c r="BI615" s="132"/>
      <c r="BJ615" s="132"/>
      <c r="BK615" s="132"/>
      <c r="BL615" s="132"/>
    </row>
    <row r="616" customFormat="false" ht="13.8" hidden="false" customHeight="false" outlineLevel="0" collapsed="false">
      <c r="A616" s="140"/>
      <c r="B616" s="140"/>
      <c r="C616" s="168"/>
      <c r="D616" s="132"/>
      <c r="E616" s="132"/>
      <c r="F616" s="132"/>
      <c r="G616" s="132"/>
      <c r="H616" s="132"/>
      <c r="I616" s="132"/>
      <c r="J616" s="132"/>
      <c r="K616" s="132"/>
      <c r="L616" s="132"/>
      <c r="M616" s="132"/>
      <c r="N616" s="140"/>
      <c r="O616" s="132"/>
      <c r="P616" s="132"/>
      <c r="Q616" s="132"/>
      <c r="R616" s="132"/>
      <c r="S616" s="132"/>
      <c r="T616" s="132"/>
      <c r="U616" s="132"/>
      <c r="V616" s="132"/>
      <c r="W616" s="132"/>
      <c r="X616" s="132"/>
      <c r="Y616" s="132"/>
      <c r="Z616" s="132"/>
      <c r="AA616" s="132"/>
      <c r="AB616" s="132"/>
      <c r="AC616" s="132"/>
      <c r="AD616" s="132"/>
      <c r="AE616" s="132"/>
      <c r="AF616" s="132"/>
      <c r="AG616" s="132"/>
      <c r="AH616" s="132"/>
      <c r="AI616" s="132"/>
      <c r="AJ616" s="132"/>
      <c r="AK616" s="132"/>
      <c r="AL616" s="132"/>
      <c r="AM616" s="132"/>
      <c r="AN616" s="132"/>
      <c r="AO616" s="132"/>
      <c r="AP616" s="132"/>
      <c r="AQ616" s="141"/>
      <c r="AR616" s="132"/>
      <c r="AS616" s="132"/>
      <c r="AT616" s="47"/>
      <c r="AU616" s="7"/>
      <c r="AV616" s="134"/>
      <c r="AW616" s="132"/>
      <c r="AX616" s="132"/>
      <c r="AY616" s="132"/>
      <c r="AZ616" s="132"/>
      <c r="BA616" s="10"/>
      <c r="BB616" s="134"/>
      <c r="BC616" s="132"/>
      <c r="BD616" s="132"/>
      <c r="BE616" s="132"/>
      <c r="BF616" s="132"/>
      <c r="BG616" s="11"/>
      <c r="BH616" s="134"/>
      <c r="BI616" s="132"/>
      <c r="BJ616" s="132"/>
      <c r="BK616" s="132"/>
      <c r="BL616" s="132"/>
    </row>
    <row r="617" customFormat="false" ht="13.8" hidden="false" customHeight="false" outlineLevel="0" collapsed="false">
      <c r="A617" s="140"/>
      <c r="B617" s="140"/>
      <c r="C617" s="168"/>
      <c r="D617" s="132"/>
      <c r="E617" s="132"/>
      <c r="F617" s="132"/>
      <c r="G617" s="132"/>
      <c r="H617" s="132"/>
      <c r="I617" s="132"/>
      <c r="J617" s="132"/>
      <c r="K617" s="132"/>
      <c r="L617" s="132"/>
      <c r="M617" s="132"/>
      <c r="N617" s="140"/>
      <c r="O617" s="132"/>
      <c r="P617" s="132"/>
      <c r="Q617" s="132"/>
      <c r="R617" s="132"/>
      <c r="S617" s="132"/>
      <c r="T617" s="132"/>
      <c r="U617" s="132"/>
      <c r="V617" s="132"/>
      <c r="W617" s="132"/>
      <c r="X617" s="132"/>
      <c r="Y617" s="132"/>
      <c r="Z617" s="132"/>
      <c r="AA617" s="132"/>
      <c r="AB617" s="132"/>
      <c r="AC617" s="132"/>
      <c r="AD617" s="132"/>
      <c r="AE617" s="132"/>
      <c r="AF617" s="132"/>
      <c r="AG617" s="132"/>
      <c r="AH617" s="132"/>
      <c r="AI617" s="132"/>
      <c r="AJ617" s="132"/>
      <c r="AK617" s="132"/>
      <c r="AL617" s="132"/>
      <c r="AM617" s="132"/>
      <c r="AN617" s="132"/>
      <c r="AO617" s="132"/>
      <c r="AP617" s="132"/>
      <c r="AQ617" s="141"/>
      <c r="AR617" s="132"/>
      <c r="AS617" s="132"/>
      <c r="AT617" s="47"/>
      <c r="AU617" s="7"/>
      <c r="AV617" s="134"/>
      <c r="AW617" s="132"/>
      <c r="AX617" s="132"/>
      <c r="AY617" s="132"/>
      <c r="AZ617" s="132"/>
      <c r="BA617" s="10"/>
      <c r="BB617" s="134"/>
      <c r="BC617" s="132"/>
      <c r="BD617" s="132"/>
      <c r="BE617" s="132"/>
      <c r="BF617" s="132"/>
      <c r="BG617" s="11"/>
      <c r="BH617" s="134"/>
      <c r="BI617" s="132"/>
      <c r="BJ617" s="132"/>
      <c r="BK617" s="132"/>
      <c r="BL617" s="132"/>
    </row>
    <row r="618" customFormat="false" ht="13.8" hidden="false" customHeight="false" outlineLevel="0" collapsed="false">
      <c r="A618" s="140"/>
      <c r="B618" s="140"/>
      <c r="C618" s="168"/>
      <c r="D618" s="132"/>
      <c r="E618" s="132"/>
      <c r="F618" s="132"/>
      <c r="G618" s="132"/>
      <c r="H618" s="132"/>
      <c r="I618" s="132"/>
      <c r="J618" s="132"/>
      <c r="K618" s="132"/>
      <c r="L618" s="132"/>
      <c r="M618" s="132"/>
      <c r="N618" s="140"/>
      <c r="O618" s="132"/>
      <c r="P618" s="132"/>
      <c r="Q618" s="132"/>
      <c r="R618" s="132"/>
      <c r="S618" s="132"/>
      <c r="T618" s="132"/>
      <c r="U618" s="132"/>
      <c r="V618" s="132"/>
      <c r="W618" s="132"/>
      <c r="X618" s="132"/>
      <c r="Y618" s="132"/>
      <c r="Z618" s="132"/>
      <c r="AA618" s="132"/>
      <c r="AB618" s="132"/>
      <c r="AC618" s="132"/>
      <c r="AD618" s="132"/>
      <c r="AE618" s="132"/>
      <c r="AF618" s="132"/>
      <c r="AG618" s="132"/>
      <c r="AH618" s="132"/>
      <c r="AI618" s="132"/>
      <c r="AJ618" s="132"/>
      <c r="AK618" s="132"/>
      <c r="AL618" s="132"/>
      <c r="AM618" s="132"/>
      <c r="AN618" s="132"/>
      <c r="AO618" s="132"/>
      <c r="AP618" s="132"/>
      <c r="AQ618" s="141"/>
      <c r="AR618" s="132"/>
      <c r="AS618" s="132"/>
      <c r="AT618" s="47"/>
      <c r="AU618" s="7"/>
      <c r="AV618" s="134"/>
      <c r="AW618" s="132"/>
      <c r="AX618" s="132"/>
      <c r="AY618" s="132"/>
      <c r="AZ618" s="132"/>
      <c r="BA618" s="10"/>
      <c r="BB618" s="134"/>
      <c r="BC618" s="132"/>
      <c r="BD618" s="132"/>
      <c r="BE618" s="132"/>
      <c r="BF618" s="132"/>
      <c r="BG618" s="11"/>
      <c r="BH618" s="134"/>
      <c r="BI618" s="132"/>
      <c r="BJ618" s="132"/>
      <c r="BK618" s="132"/>
      <c r="BL618" s="132"/>
    </row>
    <row r="619" customFormat="false" ht="13.8" hidden="false" customHeight="false" outlineLevel="0" collapsed="false">
      <c r="A619" s="140"/>
      <c r="B619" s="140"/>
      <c r="C619" s="168"/>
      <c r="D619" s="132"/>
      <c r="E619" s="132"/>
      <c r="F619" s="132"/>
      <c r="G619" s="132"/>
      <c r="H619" s="132"/>
      <c r="I619" s="132"/>
      <c r="J619" s="132"/>
      <c r="K619" s="132"/>
      <c r="L619" s="132"/>
      <c r="M619" s="132"/>
      <c r="N619" s="140"/>
      <c r="O619" s="132"/>
      <c r="P619" s="132"/>
      <c r="Q619" s="132"/>
      <c r="R619" s="132"/>
      <c r="S619" s="132"/>
      <c r="T619" s="132"/>
      <c r="U619" s="132"/>
      <c r="V619" s="132"/>
      <c r="W619" s="132"/>
      <c r="X619" s="132"/>
      <c r="Y619" s="132"/>
      <c r="Z619" s="132"/>
      <c r="AA619" s="132"/>
      <c r="AB619" s="132"/>
      <c r="AC619" s="132"/>
      <c r="AD619" s="132"/>
      <c r="AE619" s="132"/>
      <c r="AF619" s="132"/>
      <c r="AG619" s="132"/>
      <c r="AH619" s="132"/>
      <c r="AI619" s="132"/>
      <c r="AJ619" s="132"/>
      <c r="AK619" s="132"/>
      <c r="AL619" s="132"/>
      <c r="AM619" s="132"/>
      <c r="AN619" s="132"/>
      <c r="AO619" s="132"/>
      <c r="AP619" s="132"/>
      <c r="AQ619" s="141"/>
      <c r="AR619" s="132"/>
      <c r="AS619" s="132"/>
      <c r="AT619" s="47"/>
      <c r="AU619" s="7"/>
      <c r="AV619" s="134"/>
      <c r="AW619" s="132"/>
      <c r="AX619" s="132"/>
      <c r="AY619" s="132"/>
      <c r="AZ619" s="132"/>
      <c r="BA619" s="10"/>
      <c r="BB619" s="134"/>
      <c r="BC619" s="132"/>
      <c r="BD619" s="132"/>
      <c r="BE619" s="132"/>
      <c r="BF619" s="132"/>
      <c r="BG619" s="11"/>
      <c r="BH619" s="134"/>
      <c r="BI619" s="132"/>
      <c r="BJ619" s="132"/>
      <c r="BK619" s="132"/>
      <c r="BL619" s="132"/>
    </row>
    <row r="620" customFormat="false" ht="13.8" hidden="false" customHeight="false" outlineLevel="0" collapsed="false">
      <c r="A620" s="140"/>
      <c r="B620" s="140"/>
      <c r="C620" s="168"/>
      <c r="D620" s="132"/>
      <c r="E620" s="132"/>
      <c r="F620" s="132"/>
      <c r="G620" s="132"/>
      <c r="H620" s="132"/>
      <c r="I620" s="132"/>
      <c r="J620" s="132"/>
      <c r="K620" s="132"/>
      <c r="L620" s="132"/>
      <c r="M620" s="132"/>
      <c r="N620" s="140"/>
      <c r="O620" s="132"/>
      <c r="P620" s="132"/>
      <c r="Q620" s="132"/>
      <c r="R620" s="132"/>
      <c r="S620" s="132"/>
      <c r="T620" s="132"/>
      <c r="U620" s="132"/>
      <c r="V620" s="132"/>
      <c r="W620" s="132"/>
      <c r="X620" s="132"/>
      <c r="Y620" s="132"/>
      <c r="Z620" s="132"/>
      <c r="AA620" s="132"/>
      <c r="AB620" s="132"/>
      <c r="AC620" s="132"/>
      <c r="AD620" s="132"/>
      <c r="AE620" s="132"/>
      <c r="AF620" s="132"/>
      <c r="AG620" s="132"/>
      <c r="AH620" s="132"/>
      <c r="AI620" s="132"/>
      <c r="AJ620" s="132"/>
      <c r="AK620" s="132"/>
      <c r="AL620" s="132"/>
      <c r="AM620" s="132"/>
      <c r="AN620" s="132"/>
      <c r="AO620" s="132"/>
      <c r="AP620" s="132"/>
      <c r="AQ620" s="141"/>
      <c r="AR620" s="132"/>
      <c r="AS620" s="132"/>
      <c r="AT620" s="47"/>
      <c r="AU620" s="7"/>
      <c r="AV620" s="134"/>
      <c r="AW620" s="132"/>
      <c r="AX620" s="132"/>
      <c r="AY620" s="132"/>
      <c r="AZ620" s="132"/>
      <c r="BA620" s="10"/>
      <c r="BB620" s="134"/>
      <c r="BC620" s="132"/>
      <c r="BD620" s="132"/>
      <c r="BE620" s="132"/>
      <c r="BF620" s="132"/>
      <c r="BG620" s="11"/>
      <c r="BH620" s="134"/>
      <c r="BI620" s="132"/>
      <c r="BJ620" s="132"/>
      <c r="BK620" s="132"/>
      <c r="BL620" s="132"/>
    </row>
    <row r="621" customFormat="false" ht="13.8" hidden="false" customHeight="false" outlineLevel="0" collapsed="false">
      <c r="A621" s="140"/>
      <c r="B621" s="140"/>
      <c r="C621" s="168"/>
      <c r="D621" s="132"/>
      <c r="E621" s="132"/>
      <c r="F621" s="132"/>
      <c r="G621" s="132"/>
      <c r="H621" s="132"/>
      <c r="I621" s="132"/>
      <c r="J621" s="132"/>
      <c r="K621" s="132"/>
      <c r="L621" s="132"/>
      <c r="M621" s="132"/>
      <c r="N621" s="140"/>
      <c r="O621" s="132"/>
      <c r="P621" s="132"/>
      <c r="Q621" s="132"/>
      <c r="R621" s="132"/>
      <c r="S621" s="132"/>
      <c r="T621" s="132"/>
      <c r="U621" s="132"/>
      <c r="V621" s="132"/>
      <c r="W621" s="132"/>
      <c r="X621" s="132"/>
      <c r="Y621" s="132"/>
      <c r="Z621" s="132"/>
      <c r="AA621" s="132"/>
      <c r="AB621" s="132"/>
      <c r="AC621" s="132"/>
      <c r="AD621" s="132"/>
      <c r="AE621" s="132"/>
      <c r="AF621" s="132"/>
      <c r="AG621" s="132"/>
      <c r="AH621" s="132"/>
      <c r="AI621" s="132"/>
      <c r="AJ621" s="132"/>
      <c r="AK621" s="132"/>
      <c r="AL621" s="132"/>
      <c r="AM621" s="132"/>
      <c r="AN621" s="132"/>
      <c r="AO621" s="132"/>
      <c r="AP621" s="132"/>
      <c r="AQ621" s="141"/>
      <c r="AR621" s="132"/>
      <c r="AS621" s="132"/>
      <c r="AT621" s="47"/>
      <c r="AU621" s="7"/>
      <c r="AV621" s="134"/>
      <c r="AW621" s="132"/>
      <c r="AX621" s="132"/>
      <c r="AY621" s="132"/>
      <c r="AZ621" s="132"/>
      <c r="BA621" s="10"/>
      <c r="BB621" s="134"/>
      <c r="BC621" s="132"/>
      <c r="BD621" s="132"/>
      <c r="BE621" s="132"/>
      <c r="BF621" s="132"/>
      <c r="BG621" s="11"/>
      <c r="BH621" s="134"/>
      <c r="BI621" s="132"/>
      <c r="BJ621" s="132"/>
      <c r="BK621" s="132"/>
      <c r="BL621" s="132"/>
    </row>
    <row r="622" customFormat="false" ht="13.8" hidden="false" customHeight="false" outlineLevel="0" collapsed="false">
      <c r="A622" s="140"/>
      <c r="B622" s="140"/>
      <c r="C622" s="168"/>
      <c r="D622" s="132"/>
      <c r="E622" s="132"/>
      <c r="F622" s="132"/>
      <c r="G622" s="132"/>
      <c r="H622" s="132"/>
      <c r="I622" s="132"/>
      <c r="J622" s="132"/>
      <c r="K622" s="132"/>
      <c r="L622" s="132"/>
      <c r="M622" s="132"/>
      <c r="N622" s="140"/>
      <c r="O622" s="132"/>
      <c r="P622" s="132"/>
      <c r="Q622" s="132"/>
      <c r="R622" s="132"/>
      <c r="S622" s="132"/>
      <c r="T622" s="132"/>
      <c r="U622" s="132"/>
      <c r="V622" s="132"/>
      <c r="W622" s="132"/>
      <c r="X622" s="132"/>
      <c r="Y622" s="132"/>
      <c r="Z622" s="132"/>
      <c r="AA622" s="132"/>
      <c r="AB622" s="132"/>
      <c r="AC622" s="132"/>
      <c r="AD622" s="132"/>
      <c r="AE622" s="132"/>
      <c r="AF622" s="132"/>
      <c r="AG622" s="132"/>
      <c r="AH622" s="132"/>
      <c r="AI622" s="132"/>
      <c r="AJ622" s="132"/>
      <c r="AK622" s="132"/>
      <c r="AL622" s="132"/>
      <c r="AM622" s="132"/>
      <c r="AN622" s="132"/>
      <c r="AO622" s="132"/>
      <c r="AP622" s="132"/>
      <c r="AQ622" s="141"/>
      <c r="AR622" s="132"/>
      <c r="AS622" s="132"/>
      <c r="AT622" s="47"/>
      <c r="AU622" s="7"/>
      <c r="AV622" s="134"/>
      <c r="AW622" s="132"/>
      <c r="AX622" s="132"/>
      <c r="AY622" s="132"/>
      <c r="AZ622" s="132"/>
      <c r="BA622" s="10"/>
      <c r="BB622" s="134"/>
      <c r="BC622" s="132"/>
      <c r="BD622" s="132"/>
      <c r="BE622" s="132"/>
      <c r="BF622" s="132"/>
      <c r="BG622" s="11"/>
      <c r="BH622" s="134"/>
      <c r="BI622" s="132"/>
      <c r="BJ622" s="132"/>
      <c r="BK622" s="132"/>
      <c r="BL622" s="132"/>
    </row>
    <row r="623" customFormat="false" ht="13.8" hidden="false" customHeight="false" outlineLevel="0" collapsed="false">
      <c r="A623" s="140"/>
      <c r="B623" s="140"/>
      <c r="C623" s="168"/>
      <c r="D623" s="132"/>
      <c r="E623" s="132"/>
      <c r="F623" s="132"/>
      <c r="G623" s="132"/>
      <c r="H623" s="132"/>
      <c r="I623" s="132"/>
      <c r="J623" s="132"/>
      <c r="K623" s="132"/>
      <c r="L623" s="132"/>
      <c r="M623" s="132"/>
      <c r="N623" s="140"/>
      <c r="O623" s="132"/>
      <c r="P623" s="132"/>
      <c r="Q623" s="132"/>
      <c r="R623" s="132"/>
      <c r="S623" s="132"/>
      <c r="T623" s="132"/>
      <c r="U623" s="132"/>
      <c r="V623" s="132"/>
      <c r="W623" s="132"/>
      <c r="X623" s="132"/>
      <c r="Y623" s="132"/>
      <c r="Z623" s="132"/>
      <c r="AA623" s="132"/>
      <c r="AB623" s="132"/>
      <c r="AC623" s="132"/>
      <c r="AD623" s="132"/>
      <c r="AE623" s="132"/>
      <c r="AF623" s="132"/>
      <c r="AG623" s="132"/>
      <c r="AH623" s="132"/>
      <c r="AI623" s="132"/>
      <c r="AJ623" s="132"/>
      <c r="AK623" s="132"/>
      <c r="AL623" s="132"/>
      <c r="AM623" s="132"/>
      <c r="AN623" s="132"/>
      <c r="AO623" s="132"/>
      <c r="AP623" s="132"/>
      <c r="AQ623" s="141"/>
      <c r="AR623" s="132"/>
      <c r="AS623" s="132"/>
      <c r="AT623" s="47"/>
      <c r="AU623" s="7"/>
      <c r="AV623" s="134"/>
      <c r="AW623" s="132"/>
      <c r="AX623" s="132"/>
      <c r="AY623" s="132"/>
      <c r="AZ623" s="132"/>
      <c r="BA623" s="10"/>
      <c r="BB623" s="134"/>
      <c r="BC623" s="132"/>
      <c r="BD623" s="132"/>
      <c r="BE623" s="132"/>
      <c r="BF623" s="132"/>
      <c r="BG623" s="11"/>
      <c r="BH623" s="134"/>
      <c r="BI623" s="132"/>
      <c r="BJ623" s="132"/>
      <c r="BK623" s="132"/>
      <c r="BL623" s="132"/>
    </row>
    <row r="624" customFormat="false" ht="13.8" hidden="false" customHeight="false" outlineLevel="0" collapsed="false">
      <c r="A624" s="140"/>
      <c r="B624" s="140"/>
      <c r="C624" s="168"/>
      <c r="D624" s="132"/>
      <c r="E624" s="132"/>
      <c r="F624" s="132"/>
      <c r="G624" s="132"/>
      <c r="H624" s="132"/>
      <c r="I624" s="132"/>
      <c r="J624" s="132"/>
      <c r="K624" s="132"/>
      <c r="L624" s="132"/>
      <c r="M624" s="132"/>
      <c r="N624" s="140"/>
      <c r="O624" s="132"/>
      <c r="P624" s="132"/>
      <c r="Q624" s="132"/>
      <c r="R624" s="132"/>
      <c r="S624" s="132"/>
      <c r="T624" s="132"/>
      <c r="U624" s="132"/>
      <c r="V624" s="132"/>
      <c r="W624" s="132"/>
      <c r="X624" s="132"/>
      <c r="Y624" s="132"/>
      <c r="Z624" s="132"/>
      <c r="AA624" s="132"/>
      <c r="AB624" s="132"/>
      <c r="AC624" s="132"/>
      <c r="AD624" s="132"/>
      <c r="AE624" s="132"/>
      <c r="AF624" s="132"/>
      <c r="AG624" s="132"/>
      <c r="AH624" s="132"/>
      <c r="AI624" s="132"/>
      <c r="AJ624" s="132"/>
      <c r="AK624" s="132"/>
      <c r="AL624" s="132"/>
      <c r="AM624" s="132"/>
      <c r="AN624" s="132"/>
      <c r="AO624" s="132"/>
      <c r="AP624" s="132"/>
      <c r="AQ624" s="141"/>
      <c r="AR624" s="132"/>
      <c r="AS624" s="132"/>
      <c r="AT624" s="47"/>
      <c r="AU624" s="7"/>
      <c r="AV624" s="134"/>
      <c r="AW624" s="132"/>
      <c r="AX624" s="132"/>
      <c r="AY624" s="132"/>
      <c r="AZ624" s="132"/>
      <c r="BA624" s="10"/>
      <c r="BB624" s="134"/>
      <c r="BC624" s="132"/>
      <c r="BD624" s="132"/>
      <c r="BE624" s="132"/>
      <c r="BF624" s="132"/>
      <c r="BG624" s="11"/>
      <c r="BH624" s="134"/>
      <c r="BI624" s="132"/>
      <c r="BJ624" s="132"/>
      <c r="BK624" s="132"/>
      <c r="BL624" s="132"/>
    </row>
    <row r="625" customFormat="false" ht="13.8" hidden="false" customHeight="false" outlineLevel="0" collapsed="false">
      <c r="A625" s="140"/>
      <c r="B625" s="140"/>
      <c r="C625" s="168"/>
      <c r="D625" s="132"/>
      <c r="E625" s="132"/>
      <c r="F625" s="132"/>
      <c r="G625" s="132"/>
      <c r="H625" s="132"/>
      <c r="I625" s="132"/>
      <c r="J625" s="132"/>
      <c r="K625" s="132"/>
      <c r="L625" s="132"/>
      <c r="M625" s="132"/>
      <c r="N625" s="140"/>
      <c r="O625" s="132"/>
      <c r="P625" s="132"/>
      <c r="Q625" s="132"/>
      <c r="R625" s="132"/>
      <c r="S625" s="132"/>
      <c r="T625" s="132"/>
      <c r="U625" s="132"/>
      <c r="V625" s="132"/>
      <c r="W625" s="132"/>
      <c r="X625" s="132"/>
      <c r="Y625" s="132"/>
      <c r="Z625" s="132"/>
      <c r="AA625" s="132"/>
      <c r="AB625" s="132"/>
      <c r="AC625" s="132"/>
      <c r="AD625" s="132"/>
      <c r="AE625" s="132"/>
      <c r="AF625" s="132"/>
      <c r="AG625" s="132"/>
      <c r="AH625" s="132"/>
      <c r="AI625" s="132"/>
      <c r="AJ625" s="132"/>
      <c r="AK625" s="132"/>
      <c r="AL625" s="132"/>
      <c r="AM625" s="132"/>
      <c r="AN625" s="132"/>
      <c r="AO625" s="132"/>
      <c r="AP625" s="132"/>
      <c r="AQ625" s="141"/>
      <c r="AR625" s="132"/>
      <c r="AS625" s="132"/>
      <c r="AT625" s="47"/>
      <c r="AU625" s="7"/>
      <c r="AV625" s="134"/>
      <c r="AW625" s="132"/>
      <c r="AX625" s="132"/>
      <c r="AY625" s="132"/>
      <c r="AZ625" s="132"/>
      <c r="BA625" s="10"/>
      <c r="BB625" s="134"/>
      <c r="BC625" s="132"/>
      <c r="BD625" s="132"/>
      <c r="BE625" s="132"/>
      <c r="BF625" s="132"/>
      <c r="BG625" s="11"/>
      <c r="BH625" s="134"/>
      <c r="BI625" s="132"/>
      <c r="BJ625" s="132"/>
      <c r="BK625" s="132"/>
      <c r="BL625" s="132"/>
    </row>
    <row r="626" customFormat="false" ht="13.8" hidden="false" customHeight="false" outlineLevel="0" collapsed="false">
      <c r="A626" s="140"/>
      <c r="B626" s="140"/>
      <c r="C626" s="168"/>
      <c r="D626" s="132"/>
      <c r="E626" s="132"/>
      <c r="F626" s="132"/>
      <c r="G626" s="132"/>
      <c r="H626" s="132"/>
      <c r="I626" s="132"/>
      <c r="J626" s="132"/>
      <c r="K626" s="132"/>
      <c r="L626" s="132"/>
      <c r="M626" s="132"/>
      <c r="N626" s="140"/>
      <c r="O626" s="132"/>
      <c r="P626" s="132"/>
      <c r="Q626" s="132"/>
      <c r="R626" s="132"/>
      <c r="S626" s="132"/>
      <c r="T626" s="132"/>
      <c r="U626" s="132"/>
      <c r="V626" s="132"/>
      <c r="W626" s="132"/>
      <c r="X626" s="132"/>
      <c r="Y626" s="132"/>
      <c r="Z626" s="132"/>
      <c r="AA626" s="132"/>
      <c r="AB626" s="132"/>
      <c r="AC626" s="132"/>
      <c r="AD626" s="132"/>
      <c r="AE626" s="132"/>
      <c r="AF626" s="132"/>
      <c r="AG626" s="132"/>
      <c r="AH626" s="132"/>
      <c r="AI626" s="132"/>
      <c r="AJ626" s="132"/>
      <c r="AK626" s="132"/>
      <c r="AL626" s="132"/>
      <c r="AM626" s="132"/>
      <c r="AN626" s="132"/>
      <c r="AO626" s="132"/>
      <c r="AP626" s="132"/>
      <c r="AQ626" s="141"/>
      <c r="AR626" s="132"/>
      <c r="AS626" s="132"/>
      <c r="AT626" s="47"/>
      <c r="AU626" s="7"/>
      <c r="AV626" s="134"/>
      <c r="AW626" s="132"/>
      <c r="AX626" s="132"/>
      <c r="AY626" s="132"/>
      <c r="AZ626" s="132"/>
      <c r="BA626" s="10"/>
      <c r="BB626" s="134"/>
      <c r="BC626" s="132"/>
      <c r="BD626" s="132"/>
      <c r="BE626" s="132"/>
      <c r="BF626" s="132"/>
      <c r="BG626" s="11"/>
      <c r="BH626" s="134"/>
      <c r="BI626" s="132"/>
      <c r="BJ626" s="132"/>
      <c r="BK626" s="132"/>
      <c r="BL626" s="132"/>
    </row>
    <row r="627" customFormat="false" ht="13.8" hidden="false" customHeight="false" outlineLevel="0" collapsed="false">
      <c r="A627" s="140"/>
      <c r="B627" s="140"/>
      <c r="C627" s="168"/>
      <c r="D627" s="132"/>
      <c r="E627" s="132"/>
      <c r="F627" s="132"/>
      <c r="G627" s="132"/>
      <c r="H627" s="132"/>
      <c r="I627" s="132"/>
      <c r="J627" s="132"/>
      <c r="K627" s="132"/>
      <c r="L627" s="132"/>
      <c r="M627" s="132"/>
      <c r="N627" s="140"/>
      <c r="O627" s="132"/>
      <c r="P627" s="132"/>
      <c r="Q627" s="132"/>
      <c r="R627" s="132"/>
      <c r="S627" s="132"/>
      <c r="T627" s="132"/>
      <c r="U627" s="132"/>
      <c r="V627" s="132"/>
      <c r="W627" s="132"/>
      <c r="X627" s="132"/>
      <c r="Y627" s="132"/>
      <c r="Z627" s="132"/>
      <c r="AA627" s="132"/>
      <c r="AB627" s="132"/>
      <c r="AC627" s="132"/>
      <c r="AD627" s="132"/>
      <c r="AE627" s="132"/>
      <c r="AF627" s="132"/>
      <c r="AG627" s="132"/>
      <c r="AH627" s="132"/>
      <c r="AI627" s="132"/>
      <c r="AJ627" s="132"/>
      <c r="AK627" s="132"/>
      <c r="AL627" s="132"/>
      <c r="AM627" s="132"/>
      <c r="AN627" s="132"/>
      <c r="AO627" s="132"/>
      <c r="AP627" s="132"/>
      <c r="AQ627" s="141"/>
      <c r="AR627" s="132"/>
      <c r="AS627" s="132"/>
      <c r="AT627" s="47"/>
      <c r="AU627" s="7"/>
      <c r="AV627" s="134"/>
      <c r="AW627" s="132"/>
      <c r="AX627" s="132"/>
      <c r="AY627" s="132"/>
      <c r="AZ627" s="132"/>
      <c r="BA627" s="10"/>
      <c r="BB627" s="134"/>
      <c r="BC627" s="132"/>
      <c r="BD627" s="132"/>
      <c r="BE627" s="132"/>
      <c r="BF627" s="132"/>
      <c r="BG627" s="11"/>
      <c r="BH627" s="134"/>
      <c r="BI627" s="132"/>
      <c r="BJ627" s="132"/>
      <c r="BK627" s="132"/>
      <c r="BL627" s="132"/>
    </row>
    <row r="628" customFormat="false" ht="13.8" hidden="false" customHeight="false" outlineLevel="0" collapsed="false">
      <c r="A628" s="140"/>
      <c r="B628" s="140"/>
      <c r="C628" s="168"/>
      <c r="D628" s="132"/>
      <c r="E628" s="132"/>
      <c r="F628" s="132"/>
      <c r="G628" s="132"/>
      <c r="H628" s="132"/>
      <c r="I628" s="132"/>
      <c r="J628" s="132"/>
      <c r="K628" s="132"/>
      <c r="L628" s="132"/>
      <c r="M628" s="132"/>
      <c r="N628" s="140"/>
      <c r="O628" s="132"/>
      <c r="P628" s="132"/>
      <c r="Q628" s="132"/>
      <c r="R628" s="132"/>
      <c r="S628" s="132"/>
      <c r="T628" s="132"/>
      <c r="U628" s="132"/>
      <c r="V628" s="132"/>
      <c r="W628" s="132"/>
      <c r="X628" s="132"/>
      <c r="Y628" s="132"/>
      <c r="Z628" s="132"/>
      <c r="AA628" s="132"/>
      <c r="AB628" s="132"/>
      <c r="AC628" s="132"/>
      <c r="AD628" s="132"/>
      <c r="AE628" s="132"/>
      <c r="AF628" s="132"/>
      <c r="AG628" s="132"/>
      <c r="AH628" s="132"/>
      <c r="AI628" s="132"/>
      <c r="AJ628" s="132"/>
      <c r="AK628" s="132"/>
      <c r="AL628" s="132"/>
      <c r="AM628" s="132"/>
      <c r="AN628" s="132"/>
      <c r="AO628" s="132"/>
      <c r="AP628" s="132"/>
      <c r="AQ628" s="141"/>
      <c r="AR628" s="132"/>
      <c r="AS628" s="132"/>
      <c r="AT628" s="47"/>
      <c r="AU628" s="7"/>
      <c r="AV628" s="134"/>
      <c r="AW628" s="132"/>
      <c r="AX628" s="132"/>
      <c r="AY628" s="132"/>
      <c r="AZ628" s="132"/>
      <c r="BA628" s="10"/>
      <c r="BB628" s="134"/>
      <c r="BC628" s="132"/>
      <c r="BD628" s="132"/>
      <c r="BE628" s="132"/>
      <c r="BF628" s="132"/>
      <c r="BG628" s="11"/>
      <c r="BH628" s="134"/>
      <c r="BI628" s="132"/>
      <c r="BJ628" s="132"/>
      <c r="BK628" s="132"/>
      <c r="BL628" s="132"/>
    </row>
    <row r="629" customFormat="false" ht="13.8" hidden="false" customHeight="false" outlineLevel="0" collapsed="false">
      <c r="A629" s="140"/>
      <c r="B629" s="140"/>
      <c r="C629" s="168"/>
      <c r="D629" s="132"/>
      <c r="E629" s="132"/>
      <c r="F629" s="132"/>
      <c r="G629" s="132"/>
      <c r="H629" s="132"/>
      <c r="I629" s="132"/>
      <c r="J629" s="132"/>
      <c r="K629" s="132"/>
      <c r="L629" s="132"/>
      <c r="M629" s="132"/>
      <c r="N629" s="140"/>
      <c r="O629" s="132"/>
      <c r="P629" s="132"/>
      <c r="Q629" s="132"/>
      <c r="R629" s="132"/>
      <c r="S629" s="132"/>
      <c r="T629" s="132"/>
      <c r="U629" s="132"/>
      <c r="V629" s="132"/>
      <c r="W629" s="132"/>
      <c r="X629" s="132"/>
      <c r="Y629" s="132"/>
      <c r="Z629" s="132"/>
      <c r="AA629" s="132"/>
      <c r="AB629" s="132"/>
      <c r="AC629" s="132"/>
      <c r="AD629" s="132"/>
      <c r="AE629" s="132"/>
      <c r="AF629" s="132"/>
      <c r="AG629" s="132"/>
      <c r="AH629" s="132"/>
      <c r="AI629" s="132"/>
      <c r="AJ629" s="132"/>
      <c r="AK629" s="132"/>
      <c r="AL629" s="132"/>
      <c r="AM629" s="132"/>
      <c r="AN629" s="132"/>
      <c r="AO629" s="132"/>
      <c r="AP629" s="132"/>
      <c r="AQ629" s="141"/>
      <c r="AR629" s="132"/>
      <c r="AS629" s="132"/>
      <c r="AT629" s="47"/>
      <c r="AU629" s="7"/>
      <c r="AV629" s="134"/>
      <c r="AW629" s="132"/>
      <c r="AX629" s="132"/>
      <c r="AY629" s="132"/>
      <c r="AZ629" s="132"/>
      <c r="BA629" s="10"/>
      <c r="BB629" s="134"/>
      <c r="BC629" s="132"/>
      <c r="BD629" s="132"/>
      <c r="BE629" s="132"/>
      <c r="BF629" s="132"/>
      <c r="BG629" s="11"/>
      <c r="BH629" s="134"/>
      <c r="BI629" s="132"/>
      <c r="BJ629" s="132"/>
      <c r="BK629" s="132"/>
      <c r="BL629" s="132"/>
    </row>
    <row r="630" customFormat="false" ht="13.8" hidden="false" customHeight="false" outlineLevel="0" collapsed="false">
      <c r="A630" s="140"/>
      <c r="B630" s="140"/>
      <c r="C630" s="168"/>
      <c r="D630" s="132"/>
      <c r="E630" s="132"/>
      <c r="F630" s="132"/>
      <c r="G630" s="132"/>
      <c r="H630" s="132"/>
      <c r="I630" s="132"/>
      <c r="J630" s="132"/>
      <c r="K630" s="132"/>
      <c r="L630" s="132"/>
      <c r="M630" s="132"/>
      <c r="N630" s="140"/>
      <c r="O630" s="132"/>
      <c r="P630" s="132"/>
      <c r="Q630" s="132"/>
      <c r="R630" s="132"/>
      <c r="S630" s="132"/>
      <c r="T630" s="132"/>
      <c r="U630" s="132"/>
      <c r="V630" s="132"/>
      <c r="W630" s="132"/>
      <c r="X630" s="132"/>
      <c r="Y630" s="132"/>
      <c r="Z630" s="132"/>
      <c r="AA630" s="132"/>
      <c r="AB630" s="132"/>
      <c r="AC630" s="132"/>
      <c r="AD630" s="132"/>
      <c r="AE630" s="132"/>
      <c r="AF630" s="132"/>
      <c r="AG630" s="132"/>
      <c r="AH630" s="132"/>
      <c r="AI630" s="132"/>
      <c r="AJ630" s="132"/>
      <c r="AK630" s="132"/>
      <c r="AL630" s="132"/>
      <c r="AM630" s="132"/>
      <c r="AN630" s="132"/>
      <c r="AO630" s="132"/>
      <c r="AP630" s="132"/>
      <c r="AQ630" s="141"/>
      <c r="AR630" s="132"/>
      <c r="AS630" s="132"/>
      <c r="AT630" s="47"/>
      <c r="AU630" s="7"/>
      <c r="AV630" s="134"/>
      <c r="AW630" s="132"/>
      <c r="AX630" s="132"/>
      <c r="AY630" s="132"/>
      <c r="AZ630" s="132"/>
      <c r="BA630" s="10"/>
      <c r="BB630" s="134"/>
      <c r="BC630" s="132"/>
      <c r="BD630" s="132"/>
      <c r="BE630" s="132"/>
      <c r="BF630" s="132"/>
      <c r="BG630" s="11"/>
      <c r="BH630" s="134"/>
      <c r="BI630" s="132"/>
      <c r="BJ630" s="132"/>
      <c r="BK630" s="132"/>
      <c r="BL630" s="132"/>
    </row>
    <row r="631" customFormat="false" ht="13.8" hidden="false" customHeight="false" outlineLevel="0" collapsed="false">
      <c r="A631" s="140"/>
      <c r="B631" s="140"/>
      <c r="C631" s="168"/>
      <c r="D631" s="132"/>
      <c r="E631" s="132"/>
      <c r="F631" s="132"/>
      <c r="G631" s="132"/>
      <c r="H631" s="132"/>
      <c r="I631" s="132"/>
      <c r="J631" s="132"/>
      <c r="K631" s="132"/>
      <c r="L631" s="132"/>
      <c r="M631" s="132"/>
      <c r="N631" s="140"/>
      <c r="O631" s="132"/>
      <c r="P631" s="132"/>
      <c r="Q631" s="132"/>
      <c r="R631" s="132"/>
      <c r="S631" s="132"/>
      <c r="T631" s="132"/>
      <c r="U631" s="132"/>
      <c r="V631" s="132"/>
      <c r="W631" s="132"/>
      <c r="X631" s="132"/>
      <c r="Y631" s="132"/>
      <c r="Z631" s="132"/>
      <c r="AA631" s="132"/>
      <c r="AB631" s="132"/>
      <c r="AC631" s="132"/>
      <c r="AD631" s="132"/>
      <c r="AE631" s="132"/>
      <c r="AF631" s="132"/>
      <c r="AG631" s="132"/>
      <c r="AH631" s="132"/>
      <c r="AI631" s="132"/>
      <c r="AJ631" s="132"/>
      <c r="AK631" s="132"/>
      <c r="AL631" s="132"/>
      <c r="AM631" s="132"/>
      <c r="AN631" s="132"/>
      <c r="AO631" s="132"/>
      <c r="AP631" s="132"/>
      <c r="AQ631" s="141"/>
      <c r="AR631" s="132"/>
      <c r="AS631" s="132"/>
      <c r="AT631" s="47"/>
      <c r="AU631" s="7"/>
      <c r="AV631" s="134"/>
      <c r="AW631" s="132"/>
      <c r="AX631" s="132"/>
      <c r="AY631" s="132"/>
      <c r="AZ631" s="132"/>
      <c r="BA631" s="10"/>
      <c r="BB631" s="134"/>
      <c r="BC631" s="132"/>
      <c r="BD631" s="132"/>
      <c r="BE631" s="132"/>
      <c r="BF631" s="132"/>
      <c r="BG631" s="11"/>
      <c r="BH631" s="134"/>
      <c r="BI631" s="132"/>
      <c r="BJ631" s="132"/>
      <c r="BK631" s="132"/>
      <c r="BL631" s="132"/>
    </row>
    <row r="632" customFormat="false" ht="13.8" hidden="false" customHeight="false" outlineLevel="0" collapsed="false">
      <c r="A632" s="140"/>
      <c r="B632" s="140"/>
      <c r="C632" s="168"/>
      <c r="D632" s="132"/>
      <c r="E632" s="132"/>
      <c r="F632" s="132"/>
      <c r="G632" s="132"/>
      <c r="H632" s="132"/>
      <c r="I632" s="132"/>
      <c r="J632" s="132"/>
      <c r="K632" s="132"/>
      <c r="L632" s="132"/>
      <c r="M632" s="132"/>
      <c r="N632" s="140"/>
      <c r="O632" s="132"/>
      <c r="P632" s="132"/>
      <c r="Q632" s="132"/>
      <c r="R632" s="132"/>
      <c r="S632" s="132"/>
      <c r="T632" s="132"/>
      <c r="U632" s="132"/>
      <c r="V632" s="132"/>
      <c r="W632" s="132"/>
      <c r="X632" s="132"/>
      <c r="Y632" s="132"/>
      <c r="Z632" s="132"/>
      <c r="AA632" s="132"/>
      <c r="AB632" s="132"/>
      <c r="AC632" s="132"/>
      <c r="AD632" s="132"/>
      <c r="AE632" s="132"/>
      <c r="AF632" s="132"/>
      <c r="AG632" s="132"/>
      <c r="AH632" s="132"/>
      <c r="AI632" s="132"/>
      <c r="AJ632" s="132"/>
      <c r="AK632" s="132"/>
      <c r="AL632" s="132"/>
      <c r="AM632" s="132"/>
      <c r="AN632" s="132"/>
      <c r="AO632" s="132"/>
      <c r="AP632" s="132"/>
      <c r="AQ632" s="141"/>
      <c r="AR632" s="132"/>
      <c r="AS632" s="132"/>
      <c r="AT632" s="47"/>
      <c r="AU632" s="7"/>
      <c r="AV632" s="134"/>
      <c r="AW632" s="132"/>
      <c r="AX632" s="132"/>
      <c r="AY632" s="132"/>
      <c r="AZ632" s="132"/>
      <c r="BA632" s="10"/>
      <c r="BB632" s="134"/>
      <c r="BC632" s="132"/>
      <c r="BD632" s="132"/>
      <c r="BE632" s="132"/>
      <c r="BF632" s="132"/>
      <c r="BG632" s="11"/>
      <c r="BH632" s="134"/>
      <c r="BI632" s="132"/>
      <c r="BJ632" s="132"/>
      <c r="BK632" s="132"/>
      <c r="BL632" s="132"/>
    </row>
    <row r="633" customFormat="false" ht="13.8" hidden="false" customHeight="false" outlineLevel="0" collapsed="false">
      <c r="A633" s="140"/>
      <c r="B633" s="140"/>
      <c r="C633" s="168"/>
      <c r="D633" s="132"/>
      <c r="E633" s="132"/>
      <c r="F633" s="132"/>
      <c r="G633" s="132"/>
      <c r="H633" s="132"/>
      <c r="I633" s="132"/>
      <c r="J633" s="132"/>
      <c r="K633" s="132"/>
      <c r="L633" s="132"/>
      <c r="M633" s="132"/>
      <c r="N633" s="140"/>
      <c r="O633" s="132"/>
      <c r="P633" s="132"/>
      <c r="Q633" s="132"/>
      <c r="R633" s="132"/>
      <c r="S633" s="132"/>
      <c r="T633" s="132"/>
      <c r="U633" s="132"/>
      <c r="V633" s="132"/>
      <c r="W633" s="132"/>
      <c r="X633" s="132"/>
      <c r="Y633" s="132"/>
      <c r="Z633" s="132"/>
      <c r="AA633" s="132"/>
      <c r="AB633" s="132"/>
      <c r="AC633" s="132"/>
      <c r="AD633" s="132"/>
      <c r="AE633" s="132"/>
      <c r="AF633" s="132"/>
      <c r="AG633" s="132"/>
      <c r="AH633" s="132"/>
      <c r="AI633" s="132"/>
      <c r="AJ633" s="132"/>
      <c r="AK633" s="132"/>
      <c r="AL633" s="132"/>
      <c r="AM633" s="132"/>
      <c r="AN633" s="132"/>
      <c r="AO633" s="132"/>
      <c r="AP633" s="132"/>
      <c r="AQ633" s="141"/>
      <c r="AR633" s="132"/>
      <c r="AS633" s="132"/>
      <c r="AT633" s="47"/>
      <c r="AU633" s="7"/>
      <c r="AV633" s="134"/>
      <c r="AW633" s="132"/>
      <c r="AX633" s="132"/>
      <c r="AY633" s="132"/>
      <c r="AZ633" s="132"/>
      <c r="BA633" s="10"/>
      <c r="BB633" s="134"/>
      <c r="BC633" s="132"/>
      <c r="BD633" s="132"/>
      <c r="BE633" s="132"/>
      <c r="BF633" s="132"/>
      <c r="BG633" s="11"/>
      <c r="BH633" s="134"/>
      <c r="BI633" s="132"/>
      <c r="BJ633" s="132"/>
      <c r="BK633" s="132"/>
      <c r="BL633" s="132"/>
    </row>
    <row r="634" customFormat="false" ht="13.8" hidden="false" customHeight="false" outlineLevel="0" collapsed="false">
      <c r="A634" s="140"/>
      <c r="B634" s="140"/>
      <c r="C634" s="168"/>
      <c r="D634" s="132"/>
      <c r="E634" s="132"/>
      <c r="F634" s="132"/>
      <c r="G634" s="132"/>
      <c r="H634" s="132"/>
      <c r="I634" s="132"/>
      <c r="J634" s="132"/>
      <c r="K634" s="132"/>
      <c r="L634" s="132"/>
      <c r="M634" s="132"/>
      <c r="N634" s="140"/>
      <c r="O634" s="132"/>
      <c r="P634" s="132"/>
      <c r="Q634" s="132"/>
      <c r="R634" s="132"/>
      <c r="S634" s="132"/>
      <c r="T634" s="132"/>
      <c r="U634" s="132"/>
      <c r="V634" s="132"/>
      <c r="W634" s="132"/>
      <c r="X634" s="132"/>
      <c r="Y634" s="132"/>
      <c r="Z634" s="132"/>
      <c r="AA634" s="132"/>
      <c r="AB634" s="132"/>
      <c r="AC634" s="132"/>
      <c r="AD634" s="132"/>
      <c r="AE634" s="132"/>
      <c r="AF634" s="132"/>
      <c r="AG634" s="132"/>
      <c r="AH634" s="132"/>
      <c r="AI634" s="132"/>
      <c r="AJ634" s="132"/>
      <c r="AK634" s="132"/>
      <c r="AL634" s="132"/>
      <c r="AM634" s="132"/>
      <c r="AN634" s="132"/>
      <c r="AO634" s="132"/>
      <c r="AP634" s="132"/>
      <c r="AQ634" s="141"/>
      <c r="AR634" s="132"/>
      <c r="AS634" s="132"/>
      <c r="AT634" s="47"/>
      <c r="AU634" s="7"/>
      <c r="AV634" s="134"/>
      <c r="AW634" s="132"/>
      <c r="AX634" s="132"/>
      <c r="AY634" s="132"/>
      <c r="AZ634" s="132"/>
      <c r="BA634" s="10"/>
      <c r="BB634" s="134"/>
      <c r="BC634" s="132"/>
      <c r="BD634" s="132"/>
      <c r="BE634" s="132"/>
      <c r="BF634" s="132"/>
      <c r="BG634" s="11"/>
      <c r="BH634" s="134"/>
      <c r="BI634" s="132"/>
      <c r="BJ634" s="132"/>
      <c r="BK634" s="132"/>
      <c r="BL634" s="132"/>
    </row>
    <row r="635" customFormat="false" ht="13.8" hidden="false" customHeight="false" outlineLevel="0" collapsed="false">
      <c r="A635" s="140"/>
      <c r="B635" s="140"/>
      <c r="C635" s="168"/>
      <c r="D635" s="132"/>
      <c r="E635" s="132"/>
      <c r="F635" s="132"/>
      <c r="G635" s="132"/>
      <c r="H635" s="132"/>
      <c r="I635" s="132"/>
      <c r="J635" s="132"/>
      <c r="K635" s="132"/>
      <c r="L635" s="132"/>
      <c r="M635" s="132"/>
      <c r="N635" s="140"/>
      <c r="O635" s="132"/>
      <c r="P635" s="132"/>
      <c r="Q635" s="132"/>
      <c r="R635" s="132"/>
      <c r="S635" s="132"/>
      <c r="T635" s="132"/>
      <c r="U635" s="132"/>
      <c r="V635" s="132"/>
      <c r="W635" s="132"/>
      <c r="X635" s="132"/>
      <c r="Y635" s="132"/>
      <c r="Z635" s="132"/>
      <c r="AA635" s="132"/>
      <c r="AB635" s="132"/>
      <c r="AC635" s="132"/>
      <c r="AD635" s="132"/>
      <c r="AE635" s="132"/>
      <c r="AF635" s="132"/>
      <c r="AG635" s="132"/>
      <c r="AH635" s="132"/>
      <c r="AI635" s="132"/>
      <c r="AJ635" s="132"/>
      <c r="AK635" s="132"/>
      <c r="AL635" s="132"/>
      <c r="AM635" s="132"/>
      <c r="AN635" s="132"/>
      <c r="AO635" s="132"/>
      <c r="AP635" s="132"/>
      <c r="AQ635" s="141"/>
      <c r="AR635" s="132"/>
      <c r="AS635" s="132"/>
      <c r="AT635" s="47"/>
      <c r="AU635" s="7"/>
      <c r="AV635" s="134"/>
      <c r="AW635" s="132"/>
      <c r="AX635" s="132"/>
      <c r="AY635" s="132"/>
      <c r="AZ635" s="132"/>
      <c r="BA635" s="10"/>
      <c r="BB635" s="134"/>
      <c r="BC635" s="132"/>
      <c r="BD635" s="132"/>
      <c r="BE635" s="132"/>
      <c r="BF635" s="132"/>
      <c r="BG635" s="11"/>
      <c r="BH635" s="134"/>
      <c r="BI635" s="132"/>
      <c r="BJ635" s="132"/>
      <c r="BK635" s="132"/>
      <c r="BL635" s="132"/>
    </row>
    <row r="636" customFormat="false" ht="13.8" hidden="false" customHeight="false" outlineLevel="0" collapsed="false">
      <c r="A636" s="140"/>
      <c r="B636" s="140"/>
      <c r="C636" s="168"/>
      <c r="D636" s="132"/>
      <c r="E636" s="132"/>
      <c r="F636" s="132"/>
      <c r="G636" s="132"/>
      <c r="H636" s="132"/>
      <c r="I636" s="132"/>
      <c r="J636" s="132"/>
      <c r="K636" s="132"/>
      <c r="L636" s="132"/>
      <c r="M636" s="132"/>
      <c r="N636" s="140"/>
      <c r="O636" s="132"/>
      <c r="P636" s="132"/>
      <c r="Q636" s="132"/>
      <c r="R636" s="132"/>
      <c r="S636" s="132"/>
      <c r="T636" s="132"/>
      <c r="U636" s="132"/>
      <c r="V636" s="132"/>
      <c r="W636" s="132"/>
      <c r="X636" s="132"/>
      <c r="Y636" s="132"/>
      <c r="Z636" s="132"/>
      <c r="AA636" s="132"/>
      <c r="AB636" s="132"/>
      <c r="AC636" s="132"/>
      <c r="AD636" s="132"/>
      <c r="AE636" s="132"/>
      <c r="AF636" s="132"/>
      <c r="AG636" s="132"/>
      <c r="AH636" s="132"/>
      <c r="AI636" s="132"/>
      <c r="AJ636" s="132"/>
      <c r="AK636" s="132"/>
      <c r="AL636" s="132"/>
      <c r="AM636" s="132"/>
      <c r="AN636" s="132"/>
      <c r="AO636" s="132"/>
      <c r="AP636" s="132"/>
      <c r="AQ636" s="141"/>
      <c r="AR636" s="132"/>
      <c r="AS636" s="132"/>
      <c r="AT636" s="47"/>
      <c r="AU636" s="7"/>
      <c r="AV636" s="134"/>
      <c r="AW636" s="132"/>
      <c r="AX636" s="132"/>
      <c r="AY636" s="132"/>
      <c r="AZ636" s="132"/>
      <c r="BA636" s="10"/>
      <c r="BB636" s="134"/>
      <c r="BC636" s="132"/>
      <c r="BD636" s="132"/>
      <c r="BE636" s="132"/>
      <c r="BF636" s="132"/>
      <c r="BG636" s="11"/>
      <c r="BH636" s="134"/>
      <c r="BI636" s="132"/>
      <c r="BJ636" s="132"/>
      <c r="BK636" s="132"/>
      <c r="BL636" s="132"/>
    </row>
    <row r="637" customFormat="false" ht="13.8" hidden="false" customHeight="false" outlineLevel="0" collapsed="false">
      <c r="A637" s="140"/>
      <c r="B637" s="140"/>
      <c r="C637" s="168"/>
      <c r="D637" s="132"/>
      <c r="E637" s="132"/>
      <c r="F637" s="132"/>
      <c r="G637" s="132"/>
      <c r="H637" s="132"/>
      <c r="I637" s="132"/>
      <c r="J637" s="132"/>
      <c r="K637" s="132"/>
      <c r="L637" s="132"/>
      <c r="M637" s="132"/>
      <c r="N637" s="140"/>
      <c r="O637" s="132"/>
      <c r="P637" s="132"/>
      <c r="Q637" s="132"/>
      <c r="R637" s="132"/>
      <c r="S637" s="132"/>
      <c r="T637" s="132"/>
      <c r="U637" s="132"/>
      <c r="V637" s="132"/>
      <c r="W637" s="132"/>
      <c r="X637" s="132"/>
      <c r="Y637" s="132"/>
      <c r="Z637" s="132"/>
      <c r="AA637" s="132"/>
      <c r="AB637" s="132"/>
      <c r="AC637" s="132"/>
      <c r="AD637" s="132"/>
      <c r="AE637" s="132"/>
      <c r="AF637" s="132"/>
      <c r="AG637" s="132"/>
      <c r="AH637" s="132"/>
      <c r="AI637" s="132"/>
      <c r="AJ637" s="132"/>
      <c r="AK637" s="132"/>
      <c r="AL637" s="132"/>
      <c r="AM637" s="132"/>
      <c r="AN637" s="132"/>
      <c r="AO637" s="132"/>
      <c r="AP637" s="132"/>
      <c r="AQ637" s="141"/>
      <c r="AR637" s="132"/>
      <c r="AS637" s="132"/>
      <c r="AT637" s="47"/>
      <c r="AU637" s="7"/>
      <c r="AV637" s="134"/>
      <c r="AW637" s="132"/>
      <c r="AX637" s="132"/>
      <c r="AY637" s="132"/>
      <c r="AZ637" s="132"/>
      <c r="BA637" s="10"/>
      <c r="BB637" s="134"/>
      <c r="BC637" s="132"/>
      <c r="BD637" s="132"/>
      <c r="BE637" s="132"/>
      <c r="BF637" s="132"/>
      <c r="BG637" s="11"/>
      <c r="BH637" s="134"/>
      <c r="BI637" s="132"/>
      <c r="BJ637" s="132"/>
      <c r="BK637" s="132"/>
      <c r="BL637" s="132"/>
    </row>
    <row r="638" customFormat="false" ht="13.8" hidden="false" customHeight="false" outlineLevel="0" collapsed="false">
      <c r="A638" s="140"/>
      <c r="B638" s="140"/>
      <c r="C638" s="168"/>
      <c r="D638" s="132"/>
      <c r="E638" s="132"/>
      <c r="F638" s="132"/>
      <c r="G638" s="132"/>
      <c r="H638" s="132"/>
      <c r="I638" s="132"/>
      <c r="J638" s="132"/>
      <c r="K638" s="132"/>
      <c r="L638" s="132"/>
      <c r="M638" s="132"/>
      <c r="N638" s="140"/>
      <c r="O638" s="132"/>
      <c r="P638" s="132"/>
      <c r="Q638" s="132"/>
      <c r="R638" s="132"/>
      <c r="S638" s="132"/>
      <c r="T638" s="132"/>
      <c r="U638" s="132"/>
      <c r="V638" s="132"/>
      <c r="W638" s="132"/>
      <c r="X638" s="132"/>
      <c r="Y638" s="132"/>
      <c r="Z638" s="132"/>
      <c r="AA638" s="132"/>
      <c r="AB638" s="132"/>
      <c r="AC638" s="132"/>
      <c r="AD638" s="132"/>
      <c r="AE638" s="132"/>
      <c r="AF638" s="132"/>
      <c r="AG638" s="132"/>
      <c r="AH638" s="132"/>
      <c r="AI638" s="132"/>
      <c r="AJ638" s="132"/>
      <c r="AK638" s="132"/>
      <c r="AL638" s="132"/>
      <c r="AM638" s="132"/>
      <c r="AN638" s="132"/>
      <c r="AO638" s="132"/>
      <c r="AP638" s="132"/>
      <c r="AQ638" s="141"/>
      <c r="AR638" s="132"/>
      <c r="AS638" s="132"/>
      <c r="AT638" s="47"/>
      <c r="AU638" s="7"/>
      <c r="AV638" s="134"/>
      <c r="AW638" s="132"/>
      <c r="AX638" s="132"/>
      <c r="AY638" s="132"/>
      <c r="AZ638" s="132"/>
      <c r="BA638" s="10"/>
      <c r="BB638" s="134"/>
      <c r="BC638" s="132"/>
      <c r="BD638" s="132"/>
      <c r="BE638" s="132"/>
      <c r="BF638" s="132"/>
      <c r="BG638" s="11"/>
      <c r="BH638" s="134"/>
      <c r="BI638" s="132"/>
      <c r="BJ638" s="132"/>
      <c r="BK638" s="132"/>
      <c r="BL638" s="132"/>
    </row>
    <row r="639" customFormat="false" ht="13.8" hidden="false" customHeight="false" outlineLevel="0" collapsed="false">
      <c r="A639" s="140"/>
      <c r="B639" s="140"/>
      <c r="C639" s="168"/>
      <c r="D639" s="132"/>
      <c r="E639" s="132"/>
      <c r="F639" s="132"/>
      <c r="G639" s="132"/>
      <c r="H639" s="132"/>
      <c r="I639" s="132"/>
      <c r="J639" s="132"/>
      <c r="K639" s="132"/>
      <c r="L639" s="132"/>
      <c r="M639" s="132"/>
      <c r="N639" s="140"/>
      <c r="O639" s="132"/>
      <c r="P639" s="132"/>
      <c r="Q639" s="132"/>
      <c r="R639" s="132"/>
      <c r="S639" s="132"/>
      <c r="T639" s="132"/>
      <c r="U639" s="132"/>
      <c r="V639" s="132"/>
      <c r="W639" s="132"/>
      <c r="X639" s="132"/>
      <c r="Y639" s="132"/>
      <c r="Z639" s="132"/>
      <c r="AA639" s="132"/>
      <c r="AB639" s="132"/>
      <c r="AC639" s="132"/>
      <c r="AD639" s="132"/>
      <c r="AE639" s="132"/>
      <c r="AF639" s="132"/>
      <c r="AG639" s="132"/>
      <c r="AH639" s="132"/>
      <c r="AI639" s="132"/>
      <c r="AJ639" s="132"/>
      <c r="AK639" s="132"/>
      <c r="AL639" s="132"/>
      <c r="AM639" s="132"/>
      <c r="AN639" s="132"/>
      <c r="AO639" s="132"/>
      <c r="AP639" s="132"/>
      <c r="AQ639" s="141"/>
      <c r="AR639" s="132"/>
      <c r="AS639" s="132"/>
      <c r="AT639" s="47"/>
      <c r="AU639" s="7"/>
      <c r="AV639" s="134"/>
      <c r="AW639" s="132"/>
      <c r="AX639" s="132"/>
      <c r="AY639" s="132"/>
      <c r="AZ639" s="132"/>
      <c r="BA639" s="10"/>
      <c r="BB639" s="134"/>
      <c r="BC639" s="132"/>
      <c r="BD639" s="132"/>
      <c r="BE639" s="132"/>
      <c r="BF639" s="132"/>
      <c r="BG639" s="11"/>
      <c r="BH639" s="134"/>
      <c r="BI639" s="132"/>
      <c r="BJ639" s="132"/>
      <c r="BK639" s="132"/>
      <c r="BL639" s="132"/>
    </row>
    <row r="640" customFormat="false" ht="13.8" hidden="false" customHeight="false" outlineLevel="0" collapsed="false">
      <c r="A640" s="140"/>
      <c r="B640" s="140"/>
      <c r="C640" s="168"/>
      <c r="D640" s="132"/>
      <c r="E640" s="132"/>
      <c r="F640" s="132"/>
      <c r="G640" s="132"/>
      <c r="H640" s="132"/>
      <c r="I640" s="132"/>
      <c r="J640" s="132"/>
      <c r="K640" s="132"/>
      <c r="L640" s="132"/>
      <c r="M640" s="132"/>
      <c r="N640" s="140"/>
      <c r="O640" s="132"/>
      <c r="P640" s="132"/>
      <c r="Q640" s="132"/>
      <c r="R640" s="132"/>
      <c r="S640" s="132"/>
      <c r="T640" s="132"/>
      <c r="U640" s="132"/>
      <c r="V640" s="132"/>
      <c r="W640" s="132"/>
      <c r="X640" s="132"/>
      <c r="Y640" s="132"/>
      <c r="Z640" s="132"/>
      <c r="AA640" s="132"/>
      <c r="AB640" s="132"/>
      <c r="AC640" s="132"/>
      <c r="AD640" s="132"/>
      <c r="AE640" s="132"/>
      <c r="AF640" s="132"/>
      <c r="AG640" s="132"/>
      <c r="AH640" s="132"/>
      <c r="AI640" s="132"/>
      <c r="AJ640" s="132"/>
      <c r="AK640" s="132"/>
      <c r="AL640" s="132"/>
      <c r="AM640" s="132"/>
      <c r="AN640" s="132"/>
      <c r="AO640" s="132"/>
      <c r="AP640" s="132"/>
      <c r="AQ640" s="141"/>
      <c r="AR640" s="132"/>
      <c r="AS640" s="132"/>
      <c r="AT640" s="47"/>
      <c r="AU640" s="7"/>
      <c r="AV640" s="134"/>
      <c r="AW640" s="132"/>
      <c r="AX640" s="132"/>
      <c r="AY640" s="132"/>
      <c r="AZ640" s="132"/>
      <c r="BA640" s="10"/>
      <c r="BB640" s="134"/>
      <c r="BC640" s="132"/>
      <c r="BD640" s="132"/>
      <c r="BE640" s="132"/>
      <c r="BF640" s="132"/>
      <c r="BG640" s="11"/>
      <c r="BH640" s="134"/>
      <c r="BI640" s="132"/>
      <c r="BJ640" s="132"/>
      <c r="BK640" s="132"/>
      <c r="BL640" s="132"/>
    </row>
    <row r="641" customFormat="false" ht="13.8" hidden="false" customHeight="false" outlineLevel="0" collapsed="false">
      <c r="A641" s="140"/>
      <c r="B641" s="140"/>
      <c r="C641" s="168"/>
      <c r="D641" s="132"/>
      <c r="E641" s="132"/>
      <c r="F641" s="132"/>
      <c r="G641" s="132"/>
      <c r="H641" s="132"/>
      <c r="I641" s="132"/>
      <c r="J641" s="132"/>
      <c r="K641" s="132"/>
      <c r="L641" s="132"/>
      <c r="M641" s="132"/>
      <c r="N641" s="140"/>
      <c r="O641" s="132"/>
      <c r="P641" s="132"/>
      <c r="Q641" s="132"/>
      <c r="R641" s="132"/>
      <c r="S641" s="132"/>
      <c r="T641" s="132"/>
      <c r="U641" s="132"/>
      <c r="V641" s="132"/>
      <c r="W641" s="132"/>
      <c r="X641" s="132"/>
      <c r="Y641" s="132"/>
      <c r="Z641" s="132"/>
      <c r="AA641" s="132"/>
      <c r="AB641" s="132"/>
      <c r="AC641" s="132"/>
      <c r="AD641" s="132"/>
      <c r="AE641" s="132"/>
      <c r="AF641" s="132"/>
      <c r="AG641" s="132"/>
      <c r="AH641" s="132"/>
      <c r="AI641" s="132"/>
      <c r="AJ641" s="132"/>
      <c r="AK641" s="132"/>
      <c r="AL641" s="132"/>
      <c r="AM641" s="132"/>
      <c r="AN641" s="132"/>
      <c r="AO641" s="132"/>
      <c r="AP641" s="132"/>
      <c r="AQ641" s="141"/>
      <c r="AR641" s="132"/>
      <c r="AS641" s="132"/>
      <c r="AT641" s="47"/>
      <c r="AU641" s="7"/>
      <c r="AV641" s="134"/>
      <c r="AW641" s="132"/>
      <c r="AX641" s="132"/>
      <c r="AY641" s="132"/>
      <c r="AZ641" s="132"/>
      <c r="BA641" s="10"/>
      <c r="BB641" s="134"/>
      <c r="BC641" s="132"/>
      <c r="BD641" s="132"/>
      <c r="BE641" s="132"/>
      <c r="BF641" s="132"/>
      <c r="BG641" s="11"/>
      <c r="BH641" s="134"/>
      <c r="BI641" s="132"/>
      <c r="BJ641" s="132"/>
      <c r="BK641" s="132"/>
      <c r="BL641" s="132"/>
    </row>
    <row r="642" customFormat="false" ht="13.8" hidden="false" customHeight="false" outlineLevel="0" collapsed="false">
      <c r="A642" s="140"/>
      <c r="B642" s="140"/>
      <c r="C642" s="168"/>
      <c r="D642" s="132"/>
      <c r="E642" s="132"/>
      <c r="F642" s="132"/>
      <c r="G642" s="132"/>
      <c r="H642" s="132"/>
      <c r="I642" s="132"/>
      <c r="J642" s="132"/>
      <c r="K642" s="132"/>
      <c r="L642" s="132"/>
      <c r="M642" s="132"/>
      <c r="N642" s="140"/>
      <c r="O642" s="132"/>
      <c r="P642" s="132"/>
      <c r="Q642" s="132"/>
      <c r="R642" s="132"/>
      <c r="S642" s="132"/>
      <c r="T642" s="132"/>
      <c r="U642" s="132"/>
      <c r="V642" s="132"/>
      <c r="W642" s="132"/>
      <c r="X642" s="132"/>
      <c r="Y642" s="132"/>
      <c r="Z642" s="132"/>
      <c r="AA642" s="132"/>
      <c r="AB642" s="132"/>
      <c r="AC642" s="132"/>
      <c r="AD642" s="132"/>
      <c r="AE642" s="132"/>
      <c r="AF642" s="132"/>
      <c r="AG642" s="132"/>
      <c r="AH642" s="132"/>
      <c r="AI642" s="132"/>
      <c r="AJ642" s="132"/>
      <c r="AK642" s="132"/>
      <c r="AL642" s="132"/>
      <c r="AM642" s="132"/>
      <c r="AN642" s="132"/>
      <c r="AO642" s="132"/>
      <c r="AP642" s="132"/>
      <c r="AQ642" s="141"/>
      <c r="AR642" s="132"/>
      <c r="AS642" s="132"/>
      <c r="AT642" s="47"/>
      <c r="AU642" s="7"/>
      <c r="AV642" s="134"/>
      <c r="AW642" s="132"/>
      <c r="AX642" s="132"/>
      <c r="AY642" s="132"/>
      <c r="AZ642" s="132"/>
      <c r="BA642" s="10"/>
      <c r="BB642" s="134"/>
      <c r="BC642" s="132"/>
      <c r="BD642" s="132"/>
      <c r="BE642" s="132"/>
      <c r="BF642" s="132"/>
      <c r="BG642" s="11"/>
      <c r="BH642" s="134"/>
      <c r="BI642" s="132"/>
      <c r="BJ642" s="132"/>
      <c r="BK642" s="132"/>
      <c r="BL642" s="132"/>
    </row>
    <row r="643" customFormat="false" ht="13.8" hidden="false" customHeight="false" outlineLevel="0" collapsed="false">
      <c r="A643" s="140"/>
      <c r="B643" s="140"/>
      <c r="C643" s="168"/>
      <c r="D643" s="132"/>
      <c r="E643" s="132"/>
      <c r="F643" s="132"/>
      <c r="G643" s="132"/>
      <c r="H643" s="132"/>
      <c r="I643" s="132"/>
      <c r="J643" s="132"/>
      <c r="K643" s="132"/>
      <c r="L643" s="132"/>
      <c r="M643" s="132"/>
      <c r="N643" s="140"/>
      <c r="O643" s="132"/>
      <c r="P643" s="132"/>
      <c r="Q643" s="132"/>
      <c r="R643" s="132"/>
      <c r="S643" s="132"/>
      <c r="T643" s="132"/>
      <c r="U643" s="132"/>
      <c r="V643" s="132"/>
      <c r="W643" s="132"/>
      <c r="X643" s="132"/>
      <c r="Y643" s="132"/>
      <c r="Z643" s="132"/>
      <c r="AA643" s="132"/>
      <c r="AB643" s="132"/>
      <c r="AC643" s="132"/>
      <c r="AD643" s="132"/>
      <c r="AE643" s="132"/>
      <c r="AF643" s="132"/>
      <c r="AG643" s="132"/>
      <c r="AH643" s="132"/>
      <c r="AI643" s="132"/>
      <c r="AJ643" s="132"/>
      <c r="AK643" s="132"/>
      <c r="AL643" s="132"/>
      <c r="AM643" s="132"/>
      <c r="AN643" s="132"/>
      <c r="AO643" s="132"/>
      <c r="AP643" s="132"/>
      <c r="AQ643" s="141"/>
      <c r="AR643" s="132"/>
      <c r="AS643" s="132"/>
      <c r="AT643" s="47"/>
      <c r="AU643" s="7"/>
      <c r="AV643" s="134"/>
      <c r="AW643" s="132"/>
      <c r="AX643" s="132"/>
      <c r="AY643" s="132"/>
      <c r="AZ643" s="132"/>
      <c r="BA643" s="10"/>
      <c r="BB643" s="134"/>
      <c r="BC643" s="132"/>
      <c r="BD643" s="132"/>
      <c r="BE643" s="132"/>
      <c r="BF643" s="132"/>
      <c r="BG643" s="11"/>
      <c r="BH643" s="134"/>
      <c r="BI643" s="132"/>
      <c r="BJ643" s="132"/>
      <c r="BK643" s="132"/>
      <c r="BL643" s="132"/>
    </row>
    <row r="644" customFormat="false" ht="13.8" hidden="false" customHeight="false" outlineLevel="0" collapsed="false">
      <c r="A644" s="140"/>
      <c r="B644" s="140"/>
      <c r="C644" s="168"/>
      <c r="D644" s="132"/>
      <c r="E644" s="132"/>
      <c r="F644" s="132"/>
      <c r="G644" s="132"/>
      <c r="H644" s="132"/>
      <c r="I644" s="132"/>
      <c r="J644" s="132"/>
      <c r="K644" s="132"/>
      <c r="L644" s="132"/>
      <c r="M644" s="132"/>
      <c r="N644" s="140"/>
      <c r="O644" s="132"/>
      <c r="P644" s="132"/>
      <c r="Q644" s="132"/>
      <c r="R644" s="132"/>
      <c r="S644" s="132"/>
      <c r="T644" s="132"/>
      <c r="U644" s="132"/>
      <c r="V644" s="132"/>
      <c r="W644" s="132"/>
      <c r="X644" s="132"/>
      <c r="Y644" s="132"/>
      <c r="Z644" s="132"/>
      <c r="AA644" s="132"/>
      <c r="AB644" s="132"/>
      <c r="AC644" s="132"/>
      <c r="AD644" s="132"/>
      <c r="AE644" s="132"/>
      <c r="AF644" s="132"/>
      <c r="AG644" s="132"/>
      <c r="AH644" s="132"/>
      <c r="AI644" s="132"/>
      <c r="AJ644" s="132"/>
      <c r="AK644" s="132"/>
      <c r="AL644" s="132"/>
      <c r="AM644" s="132"/>
      <c r="AN644" s="132"/>
      <c r="AO644" s="132"/>
      <c r="AP644" s="132"/>
      <c r="AQ644" s="141"/>
      <c r="AR644" s="132"/>
      <c r="AS644" s="132"/>
      <c r="AT644" s="47"/>
      <c r="AU644" s="7"/>
      <c r="AV644" s="134"/>
      <c r="AW644" s="132"/>
      <c r="AX644" s="132"/>
      <c r="AY644" s="132"/>
      <c r="AZ644" s="132"/>
      <c r="BA644" s="10"/>
      <c r="BB644" s="134"/>
      <c r="BC644" s="132"/>
      <c r="BD644" s="132"/>
      <c r="BE644" s="132"/>
      <c r="BF644" s="132"/>
      <c r="BG644" s="11"/>
      <c r="BH644" s="134"/>
      <c r="BI644" s="132"/>
      <c r="BJ644" s="132"/>
      <c r="BK644" s="132"/>
      <c r="BL644" s="132"/>
    </row>
    <row r="645" customFormat="false" ht="13.8" hidden="false" customHeight="false" outlineLevel="0" collapsed="false">
      <c r="A645" s="140"/>
      <c r="B645" s="140"/>
      <c r="C645" s="168"/>
      <c r="D645" s="132"/>
      <c r="E645" s="132"/>
      <c r="F645" s="132"/>
      <c r="G645" s="132"/>
      <c r="H645" s="132"/>
      <c r="I645" s="132"/>
      <c r="J645" s="132"/>
      <c r="K645" s="132"/>
      <c r="L645" s="132"/>
      <c r="M645" s="132"/>
      <c r="N645" s="140"/>
      <c r="O645" s="132"/>
      <c r="P645" s="132"/>
      <c r="Q645" s="132"/>
      <c r="R645" s="132"/>
      <c r="S645" s="132"/>
      <c r="T645" s="132"/>
      <c r="U645" s="132"/>
      <c r="V645" s="132"/>
      <c r="W645" s="132"/>
      <c r="X645" s="132"/>
      <c r="Y645" s="132"/>
      <c r="Z645" s="132"/>
      <c r="AA645" s="132"/>
      <c r="AB645" s="132"/>
      <c r="AC645" s="132"/>
      <c r="AD645" s="132"/>
      <c r="AE645" s="132"/>
      <c r="AF645" s="132"/>
      <c r="AG645" s="132"/>
      <c r="AH645" s="132"/>
      <c r="AI645" s="132"/>
      <c r="AJ645" s="132"/>
      <c r="AK645" s="132"/>
      <c r="AL645" s="132"/>
      <c r="AM645" s="132"/>
      <c r="AN645" s="132"/>
      <c r="AO645" s="132"/>
      <c r="AP645" s="132"/>
      <c r="AQ645" s="141"/>
      <c r="AR645" s="132"/>
      <c r="AS645" s="132"/>
      <c r="AT645" s="47"/>
      <c r="AU645" s="7"/>
      <c r="AV645" s="134"/>
      <c r="AW645" s="132"/>
      <c r="AX645" s="132"/>
      <c r="AY645" s="132"/>
      <c r="AZ645" s="132"/>
      <c r="BA645" s="10"/>
      <c r="BB645" s="134"/>
      <c r="BC645" s="132"/>
      <c r="BD645" s="132"/>
      <c r="BE645" s="132"/>
      <c r="BF645" s="132"/>
      <c r="BG645" s="11"/>
      <c r="BH645" s="134"/>
      <c r="BI645" s="132"/>
      <c r="BJ645" s="132"/>
      <c r="BK645" s="132"/>
      <c r="BL645" s="132"/>
    </row>
    <row r="646" customFormat="false" ht="13.8" hidden="false" customHeight="false" outlineLevel="0" collapsed="false">
      <c r="A646" s="140"/>
      <c r="B646" s="140"/>
      <c r="C646" s="168"/>
      <c r="D646" s="132"/>
      <c r="E646" s="132"/>
      <c r="F646" s="132"/>
      <c r="G646" s="132"/>
      <c r="H646" s="132"/>
      <c r="I646" s="132"/>
      <c r="J646" s="132"/>
      <c r="K646" s="132"/>
      <c r="L646" s="132"/>
      <c r="M646" s="132"/>
      <c r="N646" s="140"/>
      <c r="O646" s="132"/>
      <c r="P646" s="132"/>
      <c r="Q646" s="132"/>
      <c r="R646" s="132"/>
      <c r="S646" s="132"/>
      <c r="T646" s="132"/>
      <c r="U646" s="132"/>
      <c r="V646" s="132"/>
      <c r="W646" s="132"/>
      <c r="X646" s="132"/>
      <c r="Y646" s="132"/>
      <c r="Z646" s="132"/>
      <c r="AA646" s="132"/>
      <c r="AB646" s="132"/>
      <c r="AC646" s="132"/>
      <c r="AD646" s="132"/>
      <c r="AE646" s="132"/>
      <c r="AF646" s="132"/>
      <c r="AG646" s="132"/>
      <c r="AH646" s="132"/>
      <c r="AI646" s="132"/>
      <c r="AJ646" s="132"/>
      <c r="AK646" s="132"/>
      <c r="AL646" s="132"/>
      <c r="AM646" s="132"/>
      <c r="AN646" s="132"/>
      <c r="AO646" s="132"/>
      <c r="AP646" s="132"/>
      <c r="AQ646" s="141"/>
      <c r="AR646" s="132"/>
      <c r="AS646" s="132"/>
      <c r="AT646" s="47"/>
      <c r="AU646" s="7"/>
      <c r="AV646" s="134"/>
      <c r="AW646" s="132"/>
      <c r="AX646" s="132"/>
      <c r="AY646" s="132"/>
      <c r="AZ646" s="132"/>
      <c r="BA646" s="10"/>
      <c r="BB646" s="134"/>
      <c r="BC646" s="132"/>
      <c r="BD646" s="132"/>
      <c r="BE646" s="132"/>
      <c r="BF646" s="132"/>
      <c r="BG646" s="11"/>
      <c r="BH646" s="134"/>
      <c r="BI646" s="132"/>
      <c r="BJ646" s="132"/>
      <c r="BK646" s="132"/>
      <c r="BL646" s="132"/>
    </row>
    <row r="647" customFormat="false" ht="13.8" hidden="false" customHeight="false" outlineLevel="0" collapsed="false">
      <c r="A647" s="140"/>
      <c r="B647" s="140"/>
      <c r="C647" s="168"/>
      <c r="D647" s="132"/>
      <c r="E647" s="132"/>
      <c r="F647" s="132"/>
      <c r="G647" s="132"/>
      <c r="H647" s="132"/>
      <c r="I647" s="132"/>
      <c r="J647" s="132"/>
      <c r="K647" s="132"/>
      <c r="L647" s="132"/>
      <c r="M647" s="132"/>
      <c r="N647" s="140"/>
      <c r="O647" s="132"/>
      <c r="P647" s="132"/>
      <c r="Q647" s="132"/>
      <c r="R647" s="132"/>
      <c r="S647" s="132"/>
      <c r="T647" s="132"/>
      <c r="U647" s="132"/>
      <c r="V647" s="132"/>
      <c r="W647" s="132"/>
      <c r="X647" s="132"/>
      <c r="Y647" s="132"/>
      <c r="Z647" s="132"/>
      <c r="AA647" s="132"/>
      <c r="AB647" s="132"/>
      <c r="AC647" s="132"/>
      <c r="AD647" s="132"/>
      <c r="AE647" s="132"/>
      <c r="AF647" s="132"/>
      <c r="AG647" s="132"/>
      <c r="AH647" s="132"/>
      <c r="AI647" s="132"/>
      <c r="AJ647" s="132"/>
      <c r="AK647" s="132"/>
      <c r="AL647" s="132"/>
      <c r="AM647" s="132"/>
      <c r="AN647" s="132"/>
      <c r="AO647" s="132"/>
      <c r="AP647" s="132"/>
      <c r="AQ647" s="141"/>
      <c r="AR647" s="132"/>
      <c r="AS647" s="132"/>
      <c r="AT647" s="47"/>
      <c r="AU647" s="7"/>
      <c r="AV647" s="134"/>
      <c r="AW647" s="132"/>
      <c r="AX647" s="132"/>
      <c r="AY647" s="132"/>
      <c r="AZ647" s="132"/>
      <c r="BA647" s="10"/>
      <c r="BB647" s="134"/>
      <c r="BC647" s="132"/>
      <c r="BD647" s="132"/>
      <c r="BE647" s="132"/>
      <c r="BF647" s="132"/>
      <c r="BG647" s="11"/>
      <c r="BH647" s="134"/>
      <c r="BI647" s="132"/>
      <c r="BJ647" s="132"/>
      <c r="BK647" s="132"/>
      <c r="BL647" s="132"/>
    </row>
    <row r="648" customFormat="false" ht="13.8" hidden="false" customHeight="false" outlineLevel="0" collapsed="false">
      <c r="A648" s="140"/>
      <c r="B648" s="140"/>
      <c r="C648" s="168"/>
      <c r="D648" s="132"/>
      <c r="E648" s="132"/>
      <c r="F648" s="132"/>
      <c r="G648" s="132"/>
      <c r="H648" s="132"/>
      <c r="I648" s="132"/>
      <c r="J648" s="132"/>
      <c r="K648" s="132"/>
      <c r="L648" s="132"/>
      <c r="M648" s="132"/>
      <c r="N648" s="140"/>
      <c r="O648" s="132"/>
      <c r="P648" s="132"/>
      <c r="Q648" s="132"/>
      <c r="R648" s="132"/>
      <c r="S648" s="132"/>
      <c r="T648" s="132"/>
      <c r="U648" s="132"/>
      <c r="V648" s="132"/>
      <c r="W648" s="132"/>
      <c r="X648" s="132"/>
      <c r="Y648" s="132"/>
      <c r="Z648" s="132"/>
      <c r="AA648" s="132"/>
      <c r="AB648" s="132"/>
      <c r="AC648" s="132"/>
      <c r="AD648" s="132"/>
      <c r="AE648" s="132"/>
      <c r="AF648" s="132"/>
      <c r="AG648" s="132"/>
      <c r="AH648" s="132"/>
      <c r="AI648" s="132"/>
      <c r="AJ648" s="132"/>
      <c r="AK648" s="132"/>
      <c r="AL648" s="132"/>
      <c r="AM648" s="132"/>
      <c r="AN648" s="132"/>
      <c r="AO648" s="132"/>
      <c r="AP648" s="132"/>
      <c r="AQ648" s="141"/>
      <c r="AR648" s="132"/>
      <c r="AS648" s="132"/>
      <c r="AT648" s="47"/>
      <c r="AU648" s="7"/>
      <c r="AV648" s="134"/>
      <c r="AW648" s="132"/>
      <c r="AX648" s="132"/>
      <c r="AY648" s="132"/>
      <c r="AZ648" s="132"/>
      <c r="BA648" s="10"/>
      <c r="BB648" s="134"/>
      <c r="BC648" s="132"/>
      <c r="BD648" s="132"/>
      <c r="BE648" s="132"/>
      <c r="BF648" s="132"/>
      <c r="BG648" s="11"/>
      <c r="BH648" s="134"/>
      <c r="BI648" s="132"/>
      <c r="BJ648" s="132"/>
      <c r="BK648" s="132"/>
      <c r="BL648" s="132"/>
    </row>
    <row r="649" customFormat="false" ht="13.8" hidden="false" customHeight="false" outlineLevel="0" collapsed="false">
      <c r="A649" s="140"/>
      <c r="B649" s="140"/>
      <c r="C649" s="168"/>
      <c r="D649" s="132"/>
      <c r="E649" s="132"/>
      <c r="F649" s="132"/>
      <c r="G649" s="132"/>
      <c r="H649" s="132"/>
      <c r="I649" s="132"/>
      <c r="J649" s="132"/>
      <c r="K649" s="132"/>
      <c r="L649" s="132"/>
      <c r="M649" s="132"/>
      <c r="N649" s="140"/>
      <c r="O649" s="132"/>
      <c r="P649" s="132"/>
      <c r="Q649" s="132"/>
      <c r="R649" s="132"/>
      <c r="S649" s="132"/>
      <c r="T649" s="132"/>
      <c r="U649" s="132"/>
      <c r="V649" s="132"/>
      <c r="W649" s="132"/>
      <c r="X649" s="132"/>
      <c r="Y649" s="132"/>
      <c r="Z649" s="132"/>
      <c r="AA649" s="132"/>
      <c r="AB649" s="132"/>
      <c r="AC649" s="132"/>
      <c r="AD649" s="132"/>
      <c r="AE649" s="132"/>
      <c r="AF649" s="132"/>
      <c r="AG649" s="132"/>
      <c r="AH649" s="132"/>
      <c r="AI649" s="132"/>
      <c r="AJ649" s="132"/>
      <c r="AK649" s="132"/>
      <c r="AL649" s="132"/>
      <c r="AM649" s="132"/>
      <c r="AN649" s="132"/>
      <c r="AO649" s="132"/>
      <c r="AP649" s="132"/>
      <c r="AQ649" s="141"/>
      <c r="AR649" s="132"/>
      <c r="AS649" s="132"/>
      <c r="AT649" s="47"/>
      <c r="AU649" s="7"/>
      <c r="AV649" s="134"/>
      <c r="AW649" s="132"/>
      <c r="AX649" s="132"/>
      <c r="AY649" s="132"/>
      <c r="AZ649" s="132"/>
      <c r="BA649" s="10"/>
      <c r="BB649" s="134"/>
      <c r="BC649" s="132"/>
      <c r="BD649" s="132"/>
      <c r="BE649" s="132"/>
      <c r="BF649" s="132"/>
      <c r="BG649" s="11"/>
      <c r="BH649" s="134"/>
      <c r="BI649" s="132"/>
      <c r="BJ649" s="132"/>
      <c r="BK649" s="132"/>
      <c r="BL649" s="132"/>
    </row>
    <row r="650" customFormat="false" ht="13.8" hidden="false" customHeight="false" outlineLevel="0" collapsed="false">
      <c r="A650" s="140"/>
      <c r="B650" s="140"/>
      <c r="C650" s="168"/>
      <c r="D650" s="132"/>
      <c r="E650" s="132"/>
      <c r="F650" s="132"/>
      <c r="G650" s="132"/>
      <c r="H650" s="132"/>
      <c r="I650" s="132"/>
      <c r="J650" s="132"/>
      <c r="K650" s="132"/>
      <c r="L650" s="132"/>
      <c r="M650" s="132"/>
      <c r="N650" s="140"/>
      <c r="O650" s="132"/>
      <c r="P650" s="132"/>
      <c r="Q650" s="132"/>
      <c r="R650" s="132"/>
      <c r="S650" s="132"/>
      <c r="T650" s="132"/>
      <c r="U650" s="132"/>
      <c r="V650" s="132"/>
      <c r="W650" s="132"/>
      <c r="X650" s="132"/>
      <c r="Y650" s="132"/>
      <c r="Z650" s="132"/>
      <c r="AA650" s="132"/>
      <c r="AB650" s="132"/>
      <c r="AC650" s="132"/>
      <c r="AD650" s="132"/>
      <c r="AE650" s="132"/>
      <c r="AF650" s="132"/>
      <c r="AG650" s="132"/>
      <c r="AH650" s="132"/>
      <c r="AI650" s="132"/>
      <c r="AJ650" s="132"/>
      <c r="AK650" s="132"/>
      <c r="AL650" s="132"/>
      <c r="AM650" s="132"/>
      <c r="AN650" s="132"/>
      <c r="AO650" s="132"/>
      <c r="AP650" s="132"/>
      <c r="AQ650" s="141"/>
      <c r="AR650" s="132"/>
      <c r="AS650" s="132"/>
      <c r="AT650" s="47"/>
      <c r="AU650" s="7"/>
      <c r="AV650" s="134"/>
      <c r="AW650" s="132"/>
      <c r="AX650" s="132"/>
      <c r="AY650" s="132"/>
      <c r="AZ650" s="132"/>
      <c r="BA650" s="10"/>
      <c r="BB650" s="134"/>
      <c r="BC650" s="132"/>
      <c r="BD650" s="132"/>
      <c r="BE650" s="132"/>
      <c r="BF650" s="132"/>
      <c r="BG650" s="11"/>
      <c r="BH650" s="134"/>
      <c r="BI650" s="132"/>
      <c r="BJ650" s="132"/>
      <c r="BK650" s="132"/>
      <c r="BL650" s="132"/>
    </row>
    <row r="651" customFormat="false" ht="13.8" hidden="false" customHeight="false" outlineLevel="0" collapsed="false">
      <c r="A651" s="140"/>
      <c r="B651" s="140"/>
      <c r="C651" s="168"/>
      <c r="D651" s="132"/>
      <c r="E651" s="132"/>
      <c r="F651" s="132"/>
      <c r="G651" s="132"/>
      <c r="H651" s="132"/>
      <c r="I651" s="132"/>
      <c r="J651" s="132"/>
      <c r="K651" s="132"/>
      <c r="L651" s="132"/>
      <c r="M651" s="132"/>
      <c r="N651" s="140"/>
      <c r="O651" s="132"/>
      <c r="P651" s="132"/>
      <c r="Q651" s="132"/>
      <c r="R651" s="132"/>
      <c r="S651" s="132"/>
      <c r="T651" s="132"/>
      <c r="U651" s="132"/>
      <c r="V651" s="132"/>
      <c r="W651" s="132"/>
      <c r="X651" s="132"/>
      <c r="Y651" s="132"/>
      <c r="Z651" s="132"/>
      <c r="AA651" s="132"/>
      <c r="AB651" s="132"/>
      <c r="AC651" s="132"/>
      <c r="AD651" s="132"/>
      <c r="AE651" s="132"/>
      <c r="AF651" s="132"/>
      <c r="AG651" s="132"/>
      <c r="AH651" s="132"/>
      <c r="AI651" s="132"/>
      <c r="AJ651" s="132"/>
      <c r="AK651" s="132"/>
      <c r="AL651" s="132"/>
      <c r="AM651" s="132"/>
      <c r="AN651" s="132"/>
      <c r="AO651" s="132"/>
      <c r="AP651" s="132"/>
      <c r="AQ651" s="141"/>
      <c r="AR651" s="132"/>
      <c r="AS651" s="132"/>
      <c r="AT651" s="47"/>
      <c r="AU651" s="7"/>
      <c r="AV651" s="134"/>
      <c r="AW651" s="132"/>
      <c r="AX651" s="132"/>
      <c r="AY651" s="132"/>
      <c r="AZ651" s="132"/>
      <c r="BA651" s="10"/>
      <c r="BB651" s="134"/>
      <c r="BC651" s="132"/>
      <c r="BD651" s="132"/>
      <c r="BE651" s="132"/>
      <c r="BF651" s="132"/>
      <c r="BG651" s="11"/>
      <c r="BH651" s="134"/>
      <c r="BI651" s="132"/>
      <c r="BJ651" s="132"/>
      <c r="BK651" s="132"/>
      <c r="BL651" s="132"/>
    </row>
    <row r="652" customFormat="false" ht="13.8" hidden="false" customHeight="false" outlineLevel="0" collapsed="false">
      <c r="A652" s="140"/>
      <c r="B652" s="140"/>
      <c r="C652" s="168"/>
      <c r="D652" s="132"/>
      <c r="E652" s="132"/>
      <c r="F652" s="132"/>
      <c r="G652" s="132"/>
      <c r="H652" s="132"/>
      <c r="I652" s="132"/>
      <c r="J652" s="132"/>
      <c r="K652" s="132"/>
      <c r="L652" s="132"/>
      <c r="M652" s="132"/>
      <c r="N652" s="140"/>
      <c r="O652" s="132"/>
      <c r="P652" s="132"/>
      <c r="Q652" s="132"/>
      <c r="R652" s="132"/>
      <c r="S652" s="132"/>
      <c r="T652" s="132"/>
      <c r="U652" s="132"/>
      <c r="V652" s="132"/>
      <c r="W652" s="132"/>
      <c r="X652" s="132"/>
      <c r="Y652" s="132"/>
      <c r="Z652" s="132"/>
      <c r="AA652" s="132"/>
      <c r="AB652" s="132"/>
      <c r="AC652" s="132"/>
      <c r="AD652" s="132"/>
      <c r="AE652" s="132"/>
      <c r="AF652" s="132"/>
      <c r="AG652" s="132"/>
      <c r="AH652" s="132"/>
      <c r="AI652" s="132"/>
      <c r="AJ652" s="132"/>
      <c r="AK652" s="132"/>
      <c r="AL652" s="132"/>
      <c r="AM652" s="132"/>
      <c r="AN652" s="132"/>
      <c r="AO652" s="132"/>
      <c r="AP652" s="132"/>
      <c r="AQ652" s="141"/>
      <c r="AR652" s="132"/>
      <c r="AS652" s="132"/>
      <c r="AT652" s="47"/>
      <c r="AU652" s="7"/>
      <c r="AV652" s="134"/>
      <c r="AW652" s="132"/>
      <c r="AX652" s="132"/>
      <c r="AY652" s="132"/>
      <c r="AZ652" s="132"/>
      <c r="BA652" s="10"/>
      <c r="BB652" s="134"/>
      <c r="BC652" s="132"/>
      <c r="BD652" s="132"/>
      <c r="BE652" s="132"/>
      <c r="BF652" s="132"/>
      <c r="BG652" s="11"/>
      <c r="BH652" s="134"/>
      <c r="BI652" s="132"/>
      <c r="BJ652" s="132"/>
      <c r="BK652" s="132"/>
      <c r="BL652" s="132"/>
    </row>
    <row r="653" customFormat="false" ht="13.8" hidden="false" customHeight="false" outlineLevel="0" collapsed="false">
      <c r="A653" s="140"/>
      <c r="B653" s="140"/>
      <c r="C653" s="168"/>
      <c r="D653" s="132"/>
      <c r="E653" s="132"/>
      <c r="F653" s="132"/>
      <c r="G653" s="132"/>
      <c r="H653" s="132"/>
      <c r="I653" s="132"/>
      <c r="J653" s="132"/>
      <c r="K653" s="132"/>
      <c r="L653" s="132"/>
      <c r="M653" s="132"/>
      <c r="N653" s="140"/>
      <c r="O653" s="132"/>
      <c r="P653" s="132"/>
      <c r="Q653" s="132"/>
      <c r="R653" s="132"/>
      <c r="S653" s="132"/>
      <c r="T653" s="132"/>
      <c r="U653" s="132"/>
      <c r="V653" s="132"/>
      <c r="W653" s="132"/>
      <c r="X653" s="132"/>
      <c r="Y653" s="132"/>
      <c r="Z653" s="132"/>
      <c r="AA653" s="132"/>
      <c r="AB653" s="132"/>
      <c r="AC653" s="132"/>
      <c r="AD653" s="132"/>
      <c r="AE653" s="132"/>
      <c r="AF653" s="132"/>
      <c r="AG653" s="132"/>
      <c r="AH653" s="132"/>
      <c r="AI653" s="132"/>
      <c r="AJ653" s="132"/>
      <c r="AK653" s="132"/>
      <c r="AL653" s="132"/>
      <c r="AM653" s="132"/>
      <c r="AN653" s="132"/>
      <c r="AO653" s="132"/>
      <c r="AP653" s="132"/>
      <c r="AQ653" s="141"/>
      <c r="AR653" s="132"/>
      <c r="AS653" s="132"/>
      <c r="AT653" s="47"/>
      <c r="AU653" s="7"/>
      <c r="AV653" s="134"/>
      <c r="AW653" s="132"/>
      <c r="AX653" s="132"/>
      <c r="AY653" s="132"/>
      <c r="AZ653" s="132"/>
      <c r="BA653" s="10"/>
      <c r="BB653" s="134"/>
      <c r="BC653" s="132"/>
      <c r="BD653" s="132"/>
      <c r="BE653" s="132"/>
      <c r="BF653" s="132"/>
      <c r="BG653" s="11"/>
      <c r="BH653" s="134"/>
      <c r="BI653" s="132"/>
      <c r="BJ653" s="132"/>
      <c r="BK653" s="132"/>
      <c r="BL653" s="132"/>
    </row>
    <row r="654" customFormat="false" ht="13.8" hidden="false" customHeight="false" outlineLevel="0" collapsed="false">
      <c r="A654" s="140"/>
      <c r="B654" s="140"/>
      <c r="C654" s="168"/>
      <c r="D654" s="132"/>
      <c r="E654" s="132"/>
      <c r="F654" s="132"/>
      <c r="G654" s="132"/>
      <c r="H654" s="132"/>
      <c r="I654" s="132"/>
      <c r="J654" s="132"/>
      <c r="K654" s="132"/>
      <c r="L654" s="132"/>
      <c r="M654" s="132"/>
      <c r="N654" s="140"/>
      <c r="O654" s="132"/>
      <c r="P654" s="132"/>
      <c r="Q654" s="132"/>
      <c r="R654" s="132"/>
      <c r="S654" s="132"/>
      <c r="T654" s="132"/>
      <c r="U654" s="132"/>
      <c r="V654" s="132"/>
      <c r="W654" s="132"/>
      <c r="X654" s="132"/>
      <c r="Y654" s="132"/>
      <c r="Z654" s="132"/>
      <c r="AA654" s="132"/>
      <c r="AB654" s="132"/>
      <c r="AC654" s="132"/>
      <c r="AD654" s="132"/>
      <c r="AE654" s="132"/>
      <c r="AF654" s="132"/>
      <c r="AG654" s="132"/>
      <c r="AH654" s="132"/>
      <c r="AI654" s="132"/>
      <c r="AJ654" s="132"/>
      <c r="AK654" s="132"/>
      <c r="AL654" s="132"/>
      <c r="AM654" s="132"/>
      <c r="AN654" s="132"/>
      <c r="AO654" s="132"/>
      <c r="AP654" s="132"/>
      <c r="AQ654" s="141"/>
      <c r="AR654" s="132"/>
      <c r="AS654" s="132"/>
      <c r="AT654" s="47"/>
      <c r="AU654" s="7"/>
      <c r="AV654" s="134"/>
      <c r="AW654" s="132"/>
      <c r="AX654" s="132"/>
      <c r="AY654" s="132"/>
      <c r="AZ654" s="132"/>
      <c r="BA654" s="10"/>
      <c r="BB654" s="134"/>
      <c r="BC654" s="132"/>
      <c r="BD654" s="132"/>
      <c r="BE654" s="132"/>
      <c r="BF654" s="132"/>
      <c r="BG654" s="11"/>
      <c r="BH654" s="134"/>
      <c r="BI654" s="132"/>
      <c r="BJ654" s="132"/>
      <c r="BK654" s="132"/>
      <c r="BL654" s="132"/>
    </row>
    <row r="655" customFormat="false" ht="13.8" hidden="false" customHeight="false" outlineLevel="0" collapsed="false">
      <c r="A655" s="140"/>
      <c r="B655" s="140"/>
      <c r="C655" s="168"/>
      <c r="D655" s="132"/>
      <c r="E655" s="132"/>
      <c r="F655" s="132"/>
      <c r="G655" s="132"/>
      <c r="H655" s="132"/>
      <c r="I655" s="132"/>
      <c r="J655" s="132"/>
      <c r="K655" s="132"/>
      <c r="L655" s="132"/>
      <c r="M655" s="132"/>
      <c r="N655" s="140"/>
      <c r="O655" s="132"/>
      <c r="P655" s="132"/>
      <c r="Q655" s="132"/>
      <c r="R655" s="132"/>
      <c r="S655" s="132"/>
      <c r="T655" s="132"/>
      <c r="U655" s="132"/>
      <c r="V655" s="132"/>
      <c r="W655" s="132"/>
      <c r="X655" s="132"/>
      <c r="Y655" s="132"/>
      <c r="Z655" s="132"/>
      <c r="AA655" s="132"/>
      <c r="AB655" s="132"/>
      <c r="AC655" s="132"/>
      <c r="AD655" s="132"/>
      <c r="AE655" s="132"/>
      <c r="AF655" s="132"/>
      <c r="AG655" s="132"/>
      <c r="AH655" s="132"/>
      <c r="AI655" s="132"/>
      <c r="AJ655" s="132"/>
      <c r="AK655" s="132"/>
      <c r="AL655" s="132"/>
      <c r="AM655" s="132"/>
      <c r="AN655" s="132"/>
      <c r="AO655" s="132"/>
      <c r="AP655" s="132"/>
      <c r="AQ655" s="141"/>
      <c r="AR655" s="132"/>
      <c r="AS655" s="132"/>
      <c r="AT655" s="47"/>
      <c r="AU655" s="7"/>
      <c r="AV655" s="134"/>
      <c r="AW655" s="132"/>
      <c r="AX655" s="132"/>
      <c r="AY655" s="132"/>
      <c r="AZ655" s="132"/>
      <c r="BA655" s="10"/>
      <c r="BB655" s="134"/>
      <c r="BC655" s="132"/>
      <c r="BD655" s="132"/>
      <c r="BE655" s="132"/>
      <c r="BF655" s="132"/>
      <c r="BG655" s="11"/>
      <c r="BH655" s="134"/>
      <c r="BI655" s="132"/>
      <c r="BJ655" s="132"/>
      <c r="BK655" s="132"/>
      <c r="BL655" s="132"/>
    </row>
    <row r="656" customFormat="false" ht="13.8" hidden="false" customHeight="false" outlineLevel="0" collapsed="false">
      <c r="A656" s="140"/>
      <c r="B656" s="140"/>
      <c r="C656" s="168"/>
      <c r="D656" s="132"/>
      <c r="E656" s="132"/>
      <c r="F656" s="132"/>
      <c r="G656" s="132"/>
      <c r="H656" s="132"/>
      <c r="I656" s="132"/>
      <c r="J656" s="132"/>
      <c r="K656" s="132"/>
      <c r="L656" s="132"/>
      <c r="M656" s="132"/>
      <c r="N656" s="140"/>
      <c r="O656" s="132"/>
      <c r="P656" s="132"/>
      <c r="Q656" s="132"/>
      <c r="R656" s="132"/>
      <c r="S656" s="132"/>
      <c r="T656" s="132"/>
      <c r="U656" s="132"/>
      <c r="V656" s="132"/>
      <c r="W656" s="132"/>
      <c r="X656" s="132"/>
      <c r="Y656" s="132"/>
      <c r="Z656" s="132"/>
      <c r="AA656" s="132"/>
      <c r="AB656" s="132"/>
      <c r="AC656" s="132"/>
      <c r="AD656" s="132"/>
      <c r="AE656" s="132"/>
      <c r="AF656" s="132"/>
      <c r="AG656" s="132"/>
      <c r="AH656" s="132"/>
      <c r="AI656" s="132"/>
      <c r="AJ656" s="132"/>
      <c r="AK656" s="132"/>
      <c r="AL656" s="132"/>
      <c r="AM656" s="132"/>
      <c r="AN656" s="132"/>
      <c r="AO656" s="132"/>
      <c r="AP656" s="132"/>
      <c r="AQ656" s="141"/>
      <c r="AR656" s="132"/>
      <c r="AS656" s="132"/>
      <c r="AT656" s="47"/>
      <c r="AU656" s="7"/>
      <c r="AV656" s="134"/>
      <c r="AW656" s="132"/>
      <c r="AX656" s="132"/>
      <c r="AY656" s="132"/>
      <c r="AZ656" s="132"/>
      <c r="BA656" s="10"/>
      <c r="BB656" s="134"/>
      <c r="BC656" s="132"/>
      <c r="BD656" s="132"/>
      <c r="BE656" s="132"/>
      <c r="BF656" s="132"/>
      <c r="BG656" s="11"/>
      <c r="BH656" s="134"/>
      <c r="BI656" s="132"/>
      <c r="BJ656" s="132"/>
      <c r="BK656" s="132"/>
      <c r="BL656" s="132"/>
    </row>
    <row r="657" customFormat="false" ht="13.8" hidden="false" customHeight="false" outlineLevel="0" collapsed="false">
      <c r="A657" s="140"/>
      <c r="B657" s="140"/>
      <c r="C657" s="168"/>
      <c r="D657" s="132"/>
      <c r="E657" s="132"/>
      <c r="F657" s="132"/>
      <c r="G657" s="132"/>
      <c r="H657" s="132"/>
      <c r="I657" s="132"/>
      <c r="J657" s="132"/>
      <c r="K657" s="132"/>
      <c r="L657" s="132"/>
      <c r="M657" s="132"/>
      <c r="N657" s="140"/>
      <c r="O657" s="132"/>
      <c r="P657" s="132"/>
      <c r="Q657" s="132"/>
      <c r="R657" s="132"/>
      <c r="S657" s="132"/>
      <c r="T657" s="132"/>
      <c r="U657" s="132"/>
      <c r="V657" s="132"/>
      <c r="W657" s="132"/>
      <c r="X657" s="132"/>
      <c r="Y657" s="132"/>
      <c r="Z657" s="132"/>
      <c r="AA657" s="132"/>
      <c r="AB657" s="132"/>
      <c r="AC657" s="132"/>
      <c r="AD657" s="132"/>
      <c r="AE657" s="132"/>
      <c r="AF657" s="132"/>
      <c r="AG657" s="132"/>
      <c r="AH657" s="132"/>
      <c r="AI657" s="132"/>
      <c r="AJ657" s="132"/>
      <c r="AK657" s="132"/>
      <c r="AL657" s="132"/>
      <c r="AM657" s="132"/>
      <c r="AN657" s="132"/>
      <c r="AO657" s="132"/>
      <c r="AP657" s="132"/>
      <c r="AQ657" s="141"/>
      <c r="AR657" s="132"/>
      <c r="AS657" s="132"/>
      <c r="AT657" s="47"/>
      <c r="AU657" s="7"/>
      <c r="AV657" s="134"/>
      <c r="AW657" s="132"/>
      <c r="AX657" s="132"/>
      <c r="AY657" s="132"/>
      <c r="AZ657" s="132"/>
      <c r="BA657" s="10"/>
      <c r="BB657" s="134"/>
      <c r="BC657" s="132"/>
      <c r="BD657" s="132"/>
      <c r="BE657" s="132"/>
      <c r="BF657" s="132"/>
      <c r="BG657" s="11"/>
      <c r="BH657" s="134"/>
      <c r="BI657" s="132"/>
      <c r="BJ657" s="132"/>
      <c r="BK657" s="132"/>
      <c r="BL657" s="132"/>
    </row>
    <row r="658" customFormat="false" ht="13.8" hidden="false" customHeight="false" outlineLevel="0" collapsed="false">
      <c r="A658" s="140"/>
      <c r="B658" s="140"/>
      <c r="C658" s="168"/>
      <c r="D658" s="132"/>
      <c r="E658" s="132"/>
      <c r="F658" s="132"/>
      <c r="G658" s="132"/>
      <c r="H658" s="132"/>
      <c r="I658" s="132"/>
      <c r="J658" s="132"/>
      <c r="K658" s="132"/>
      <c r="L658" s="132"/>
      <c r="M658" s="132"/>
      <c r="N658" s="140"/>
      <c r="O658" s="132"/>
      <c r="P658" s="132"/>
      <c r="Q658" s="132"/>
      <c r="R658" s="132"/>
      <c r="S658" s="132"/>
      <c r="T658" s="132"/>
      <c r="U658" s="132"/>
      <c r="V658" s="132"/>
      <c r="W658" s="132"/>
      <c r="X658" s="132"/>
      <c r="Y658" s="132"/>
      <c r="Z658" s="132"/>
      <c r="AA658" s="132"/>
      <c r="AB658" s="132"/>
      <c r="AC658" s="132"/>
      <c r="AD658" s="132"/>
      <c r="AE658" s="132"/>
      <c r="AF658" s="132"/>
      <c r="AG658" s="132"/>
      <c r="AH658" s="132"/>
      <c r="AI658" s="132"/>
      <c r="AJ658" s="132"/>
      <c r="AK658" s="132"/>
      <c r="AL658" s="132"/>
      <c r="AM658" s="132"/>
      <c r="AN658" s="132"/>
      <c r="AO658" s="132"/>
      <c r="AP658" s="132"/>
      <c r="AQ658" s="141"/>
      <c r="AR658" s="132"/>
      <c r="AS658" s="132"/>
      <c r="AT658" s="47"/>
      <c r="AU658" s="7"/>
      <c r="AV658" s="134"/>
      <c r="AW658" s="132"/>
      <c r="AX658" s="132"/>
      <c r="AY658" s="132"/>
      <c r="AZ658" s="132"/>
      <c r="BA658" s="10"/>
      <c r="BB658" s="134"/>
      <c r="BC658" s="132"/>
      <c r="BD658" s="132"/>
      <c r="BE658" s="132"/>
      <c r="BF658" s="132"/>
      <c r="BG658" s="11"/>
      <c r="BH658" s="134"/>
      <c r="BI658" s="132"/>
      <c r="BJ658" s="132"/>
      <c r="BK658" s="132"/>
      <c r="BL658" s="132"/>
    </row>
    <row r="659" customFormat="false" ht="13.8" hidden="false" customHeight="false" outlineLevel="0" collapsed="false">
      <c r="A659" s="140"/>
      <c r="B659" s="140"/>
      <c r="C659" s="168"/>
      <c r="D659" s="132"/>
      <c r="E659" s="132"/>
      <c r="F659" s="132"/>
      <c r="G659" s="132"/>
      <c r="H659" s="132"/>
      <c r="I659" s="132"/>
      <c r="J659" s="132"/>
      <c r="K659" s="132"/>
      <c r="L659" s="132"/>
      <c r="M659" s="132"/>
      <c r="N659" s="140"/>
      <c r="O659" s="132"/>
      <c r="P659" s="132"/>
      <c r="Q659" s="132"/>
      <c r="R659" s="132"/>
      <c r="S659" s="132"/>
      <c r="T659" s="132"/>
      <c r="U659" s="132"/>
      <c r="V659" s="132"/>
      <c r="W659" s="132"/>
      <c r="X659" s="132"/>
      <c r="Y659" s="132"/>
      <c r="Z659" s="132"/>
      <c r="AA659" s="132"/>
      <c r="AB659" s="132"/>
      <c r="AC659" s="132"/>
      <c r="AD659" s="132"/>
      <c r="AE659" s="132"/>
      <c r="AF659" s="132"/>
      <c r="AG659" s="132"/>
      <c r="AH659" s="132"/>
      <c r="AI659" s="132"/>
      <c r="AJ659" s="132"/>
      <c r="AK659" s="132"/>
      <c r="AL659" s="132"/>
      <c r="AM659" s="132"/>
      <c r="AN659" s="132"/>
      <c r="AO659" s="132"/>
      <c r="AP659" s="132"/>
      <c r="AQ659" s="141"/>
      <c r="AR659" s="132"/>
      <c r="AS659" s="132"/>
      <c r="AT659" s="47"/>
      <c r="AU659" s="7"/>
      <c r="AV659" s="134"/>
      <c r="AW659" s="132"/>
      <c r="AX659" s="132"/>
      <c r="AY659" s="132"/>
      <c r="AZ659" s="132"/>
      <c r="BA659" s="10"/>
      <c r="BB659" s="134"/>
      <c r="BC659" s="132"/>
      <c r="BD659" s="132"/>
      <c r="BE659" s="132"/>
      <c r="BF659" s="132"/>
      <c r="BG659" s="11"/>
      <c r="BH659" s="134"/>
      <c r="BI659" s="132"/>
      <c r="BJ659" s="132"/>
      <c r="BK659" s="132"/>
      <c r="BL659" s="132"/>
    </row>
    <row r="660" customFormat="false" ht="13.8" hidden="false" customHeight="false" outlineLevel="0" collapsed="false">
      <c r="A660" s="140"/>
      <c r="B660" s="140"/>
      <c r="C660" s="168"/>
      <c r="D660" s="132"/>
      <c r="E660" s="132"/>
      <c r="F660" s="132"/>
      <c r="G660" s="132"/>
      <c r="H660" s="132"/>
      <c r="I660" s="132"/>
      <c r="J660" s="132"/>
      <c r="K660" s="132"/>
      <c r="L660" s="132"/>
      <c r="M660" s="132"/>
      <c r="N660" s="140"/>
      <c r="O660" s="132"/>
      <c r="P660" s="132"/>
      <c r="Q660" s="132"/>
      <c r="R660" s="132"/>
      <c r="S660" s="132"/>
      <c r="T660" s="132"/>
      <c r="U660" s="132"/>
      <c r="V660" s="132"/>
      <c r="W660" s="132"/>
      <c r="X660" s="132"/>
      <c r="Y660" s="132"/>
      <c r="Z660" s="132"/>
      <c r="AA660" s="132"/>
      <c r="AB660" s="132"/>
      <c r="AC660" s="132"/>
      <c r="AD660" s="132"/>
      <c r="AE660" s="132"/>
      <c r="AF660" s="132"/>
      <c r="AG660" s="132"/>
      <c r="AH660" s="132"/>
      <c r="AI660" s="132"/>
      <c r="AJ660" s="132"/>
      <c r="AK660" s="132"/>
      <c r="AL660" s="132"/>
      <c r="AM660" s="132"/>
      <c r="AN660" s="132"/>
      <c r="AO660" s="132"/>
      <c r="AP660" s="132"/>
      <c r="AQ660" s="141"/>
      <c r="AR660" s="132"/>
      <c r="AS660" s="132"/>
      <c r="AT660" s="47"/>
      <c r="AU660" s="7"/>
      <c r="AV660" s="134"/>
      <c r="AW660" s="132"/>
      <c r="AX660" s="132"/>
      <c r="AY660" s="132"/>
      <c r="AZ660" s="132"/>
      <c r="BA660" s="10"/>
      <c r="BB660" s="134"/>
      <c r="BC660" s="132"/>
      <c r="BD660" s="132"/>
      <c r="BE660" s="132"/>
      <c r="BF660" s="132"/>
      <c r="BG660" s="11"/>
      <c r="BH660" s="134"/>
      <c r="BI660" s="132"/>
      <c r="BJ660" s="132"/>
      <c r="BK660" s="132"/>
      <c r="BL660" s="132"/>
    </row>
    <row r="661" customFormat="false" ht="13.8" hidden="false" customHeight="false" outlineLevel="0" collapsed="false">
      <c r="A661" s="140"/>
      <c r="B661" s="140"/>
      <c r="C661" s="168"/>
      <c r="D661" s="132"/>
      <c r="E661" s="132"/>
      <c r="F661" s="132"/>
      <c r="G661" s="132"/>
      <c r="H661" s="132"/>
      <c r="I661" s="132"/>
      <c r="J661" s="132"/>
      <c r="K661" s="132"/>
      <c r="L661" s="132"/>
      <c r="M661" s="132"/>
      <c r="N661" s="140"/>
      <c r="O661" s="132"/>
      <c r="P661" s="132"/>
      <c r="Q661" s="132"/>
      <c r="R661" s="132"/>
      <c r="S661" s="132"/>
      <c r="T661" s="132"/>
      <c r="U661" s="132"/>
      <c r="V661" s="132"/>
      <c r="W661" s="132"/>
      <c r="X661" s="132"/>
      <c r="Y661" s="132"/>
      <c r="Z661" s="132"/>
      <c r="AA661" s="132"/>
      <c r="AB661" s="132"/>
      <c r="AC661" s="132"/>
      <c r="AD661" s="132"/>
      <c r="AE661" s="132"/>
      <c r="AF661" s="132"/>
      <c r="AG661" s="132"/>
      <c r="AH661" s="132"/>
      <c r="AI661" s="132"/>
      <c r="AJ661" s="132"/>
      <c r="AK661" s="132"/>
      <c r="AL661" s="132"/>
      <c r="AM661" s="132"/>
      <c r="AN661" s="132"/>
      <c r="AO661" s="132"/>
      <c r="AP661" s="132"/>
      <c r="AQ661" s="141"/>
      <c r="AR661" s="132"/>
      <c r="AS661" s="132"/>
      <c r="AT661" s="47"/>
      <c r="AU661" s="7"/>
      <c r="AV661" s="134"/>
      <c r="AW661" s="132"/>
      <c r="AX661" s="132"/>
      <c r="AY661" s="132"/>
      <c r="AZ661" s="132"/>
      <c r="BA661" s="10"/>
      <c r="BB661" s="134"/>
      <c r="BC661" s="132"/>
      <c r="BD661" s="132"/>
      <c r="BE661" s="132"/>
      <c r="BF661" s="132"/>
      <c r="BG661" s="11"/>
      <c r="BH661" s="134"/>
      <c r="BI661" s="132"/>
      <c r="BJ661" s="132"/>
      <c r="BK661" s="132"/>
      <c r="BL661" s="132"/>
    </row>
    <row r="662" customFormat="false" ht="13.8" hidden="false" customHeight="false" outlineLevel="0" collapsed="false">
      <c r="A662" s="140"/>
      <c r="B662" s="140"/>
      <c r="C662" s="168"/>
      <c r="D662" s="132"/>
      <c r="E662" s="132"/>
      <c r="F662" s="132"/>
      <c r="G662" s="132"/>
      <c r="H662" s="132"/>
      <c r="I662" s="132"/>
      <c r="J662" s="132"/>
      <c r="K662" s="132"/>
      <c r="L662" s="132"/>
      <c r="M662" s="132"/>
      <c r="N662" s="140"/>
      <c r="O662" s="132"/>
      <c r="P662" s="132"/>
      <c r="Q662" s="132"/>
      <c r="R662" s="132"/>
      <c r="S662" s="132"/>
      <c r="T662" s="132"/>
      <c r="U662" s="132"/>
      <c r="V662" s="132"/>
      <c r="W662" s="132"/>
      <c r="X662" s="132"/>
      <c r="Y662" s="132"/>
      <c r="Z662" s="132"/>
      <c r="AA662" s="132"/>
      <c r="AB662" s="132"/>
      <c r="AC662" s="132"/>
      <c r="AD662" s="132"/>
      <c r="AE662" s="132"/>
      <c r="AF662" s="132"/>
      <c r="AG662" s="132"/>
      <c r="AH662" s="132"/>
      <c r="AI662" s="132"/>
      <c r="AJ662" s="132"/>
      <c r="AK662" s="132"/>
      <c r="AL662" s="132"/>
      <c r="AM662" s="132"/>
      <c r="AN662" s="132"/>
      <c r="AO662" s="132"/>
      <c r="AP662" s="132"/>
      <c r="AQ662" s="141"/>
      <c r="AR662" s="132"/>
      <c r="AS662" s="132"/>
      <c r="AT662" s="47"/>
      <c r="AU662" s="7"/>
      <c r="AV662" s="134"/>
      <c r="AW662" s="132"/>
      <c r="AX662" s="132"/>
      <c r="AY662" s="132"/>
      <c r="AZ662" s="132"/>
      <c r="BA662" s="10"/>
      <c r="BB662" s="134"/>
      <c r="BC662" s="132"/>
      <c r="BD662" s="132"/>
      <c r="BE662" s="132"/>
      <c r="BF662" s="132"/>
      <c r="BG662" s="11"/>
      <c r="BH662" s="134"/>
      <c r="BI662" s="132"/>
      <c r="BJ662" s="132"/>
      <c r="BK662" s="132"/>
      <c r="BL662" s="132"/>
    </row>
    <row r="663" customFormat="false" ht="13.8" hidden="false" customHeight="false" outlineLevel="0" collapsed="false">
      <c r="A663" s="140"/>
      <c r="B663" s="140"/>
      <c r="C663" s="168"/>
      <c r="D663" s="132"/>
      <c r="E663" s="132"/>
      <c r="F663" s="132"/>
      <c r="G663" s="132"/>
      <c r="H663" s="132"/>
      <c r="I663" s="132"/>
      <c r="J663" s="132"/>
      <c r="K663" s="132"/>
      <c r="L663" s="132"/>
      <c r="M663" s="132"/>
      <c r="N663" s="140"/>
      <c r="O663" s="132"/>
      <c r="P663" s="132"/>
      <c r="Q663" s="132"/>
      <c r="R663" s="132"/>
      <c r="S663" s="132"/>
      <c r="T663" s="132"/>
      <c r="U663" s="132"/>
      <c r="V663" s="132"/>
      <c r="W663" s="132"/>
      <c r="X663" s="132"/>
      <c r="Y663" s="132"/>
      <c r="Z663" s="132"/>
      <c r="AA663" s="132"/>
      <c r="AB663" s="132"/>
      <c r="AC663" s="132"/>
      <c r="AD663" s="132"/>
      <c r="AE663" s="132"/>
      <c r="AF663" s="132"/>
      <c r="AG663" s="132"/>
      <c r="AH663" s="132"/>
      <c r="AI663" s="132"/>
      <c r="AJ663" s="132"/>
      <c r="AK663" s="132"/>
      <c r="AL663" s="132"/>
      <c r="AM663" s="132"/>
      <c r="AN663" s="132"/>
      <c r="AO663" s="132"/>
      <c r="AP663" s="132"/>
      <c r="AQ663" s="141"/>
      <c r="AR663" s="132"/>
      <c r="AS663" s="132"/>
      <c r="AT663" s="47"/>
      <c r="AU663" s="7"/>
      <c r="AV663" s="134"/>
      <c r="AW663" s="132"/>
      <c r="AX663" s="132"/>
      <c r="AY663" s="132"/>
      <c r="AZ663" s="132"/>
      <c r="BA663" s="10"/>
      <c r="BB663" s="134"/>
      <c r="BC663" s="132"/>
      <c r="BD663" s="132"/>
      <c r="BE663" s="132"/>
      <c r="BF663" s="132"/>
      <c r="BG663" s="11"/>
      <c r="BH663" s="134"/>
      <c r="BI663" s="132"/>
      <c r="BJ663" s="132"/>
      <c r="BK663" s="132"/>
      <c r="BL663" s="132"/>
    </row>
    <row r="664" customFormat="false" ht="13.8" hidden="false" customHeight="false" outlineLevel="0" collapsed="false">
      <c r="A664" s="140"/>
      <c r="B664" s="140"/>
      <c r="C664" s="168"/>
      <c r="D664" s="132"/>
      <c r="E664" s="132"/>
      <c r="F664" s="132"/>
      <c r="G664" s="132"/>
      <c r="H664" s="132"/>
      <c r="I664" s="132"/>
      <c r="J664" s="132"/>
      <c r="K664" s="132"/>
      <c r="L664" s="132"/>
      <c r="M664" s="132"/>
      <c r="N664" s="140"/>
      <c r="O664" s="132"/>
      <c r="P664" s="132"/>
      <c r="Q664" s="132"/>
      <c r="R664" s="132"/>
      <c r="S664" s="132"/>
      <c r="T664" s="132"/>
      <c r="U664" s="132"/>
      <c r="V664" s="132"/>
      <c r="W664" s="132"/>
      <c r="X664" s="132"/>
      <c r="Y664" s="132"/>
      <c r="Z664" s="132"/>
      <c r="AA664" s="132"/>
      <c r="AB664" s="132"/>
      <c r="AC664" s="132"/>
      <c r="AD664" s="132"/>
      <c r="AE664" s="132"/>
      <c r="AF664" s="132"/>
      <c r="AG664" s="132"/>
      <c r="AH664" s="132"/>
      <c r="AI664" s="132"/>
      <c r="AJ664" s="132"/>
      <c r="AK664" s="132"/>
      <c r="AL664" s="132"/>
      <c r="AM664" s="132"/>
      <c r="AN664" s="132"/>
      <c r="AO664" s="132"/>
      <c r="AP664" s="132"/>
      <c r="AQ664" s="141"/>
      <c r="AR664" s="132"/>
      <c r="AS664" s="132"/>
      <c r="AT664" s="47"/>
      <c r="AU664" s="7"/>
      <c r="AV664" s="134"/>
      <c r="AW664" s="132"/>
      <c r="AX664" s="132"/>
      <c r="AY664" s="132"/>
      <c r="AZ664" s="132"/>
      <c r="BA664" s="10"/>
      <c r="BB664" s="134"/>
      <c r="BC664" s="132"/>
      <c r="BD664" s="132"/>
      <c r="BE664" s="132"/>
      <c r="BF664" s="132"/>
      <c r="BG664" s="11"/>
      <c r="BH664" s="134"/>
      <c r="BI664" s="132"/>
      <c r="BJ664" s="132"/>
      <c r="BK664" s="132"/>
      <c r="BL664" s="132"/>
    </row>
    <row r="665" customFormat="false" ht="13.8" hidden="false" customHeight="false" outlineLevel="0" collapsed="false">
      <c r="A665" s="140"/>
      <c r="B665" s="140"/>
      <c r="C665" s="168"/>
      <c r="D665" s="132"/>
      <c r="E665" s="132"/>
      <c r="F665" s="132"/>
      <c r="G665" s="132"/>
      <c r="H665" s="132"/>
      <c r="I665" s="132"/>
      <c r="J665" s="132"/>
      <c r="K665" s="132"/>
      <c r="L665" s="132"/>
      <c r="M665" s="132"/>
      <c r="N665" s="140"/>
      <c r="O665" s="132"/>
      <c r="P665" s="132"/>
      <c r="Q665" s="132"/>
      <c r="R665" s="132"/>
      <c r="S665" s="132"/>
      <c r="T665" s="132"/>
      <c r="U665" s="132"/>
      <c r="V665" s="132"/>
      <c r="W665" s="132"/>
      <c r="X665" s="132"/>
      <c r="Y665" s="132"/>
      <c r="Z665" s="132"/>
      <c r="AA665" s="132"/>
      <c r="AB665" s="132"/>
      <c r="AC665" s="132"/>
      <c r="AD665" s="132"/>
      <c r="AE665" s="132"/>
      <c r="AF665" s="132"/>
      <c r="AG665" s="132"/>
      <c r="AH665" s="132"/>
      <c r="AI665" s="132"/>
      <c r="AJ665" s="132"/>
      <c r="AK665" s="132"/>
      <c r="AL665" s="132"/>
      <c r="AM665" s="132"/>
      <c r="AN665" s="132"/>
      <c r="AO665" s="132"/>
      <c r="AP665" s="132"/>
      <c r="AQ665" s="141"/>
      <c r="AR665" s="132"/>
      <c r="AS665" s="132"/>
      <c r="AT665" s="47"/>
      <c r="AU665" s="7"/>
      <c r="AV665" s="134"/>
      <c r="AW665" s="132"/>
      <c r="AX665" s="132"/>
      <c r="AY665" s="132"/>
      <c r="AZ665" s="132"/>
      <c r="BA665" s="10"/>
      <c r="BB665" s="134"/>
      <c r="BC665" s="132"/>
      <c r="BD665" s="132"/>
      <c r="BE665" s="132"/>
      <c r="BF665" s="132"/>
      <c r="BG665" s="11"/>
      <c r="BH665" s="134"/>
      <c r="BI665" s="132"/>
      <c r="BJ665" s="132"/>
      <c r="BK665" s="132"/>
      <c r="BL665" s="132"/>
    </row>
    <row r="666" customFormat="false" ht="13.8" hidden="false" customHeight="false" outlineLevel="0" collapsed="false">
      <c r="A666" s="140"/>
      <c r="B666" s="140"/>
      <c r="C666" s="168"/>
      <c r="D666" s="132"/>
      <c r="E666" s="132"/>
      <c r="F666" s="132"/>
      <c r="G666" s="132"/>
      <c r="H666" s="132"/>
      <c r="I666" s="132"/>
      <c r="J666" s="132"/>
      <c r="K666" s="132"/>
      <c r="L666" s="132"/>
      <c r="M666" s="132"/>
      <c r="N666" s="140"/>
      <c r="O666" s="132"/>
      <c r="P666" s="132"/>
      <c r="Q666" s="132"/>
      <c r="R666" s="132"/>
      <c r="S666" s="132"/>
      <c r="T666" s="132"/>
      <c r="U666" s="132"/>
      <c r="V666" s="132"/>
      <c r="W666" s="132"/>
      <c r="X666" s="132"/>
      <c r="Y666" s="132"/>
      <c r="Z666" s="132"/>
      <c r="AA666" s="132"/>
      <c r="AB666" s="132"/>
      <c r="AC666" s="132"/>
      <c r="AD666" s="132"/>
      <c r="AE666" s="132"/>
      <c r="AF666" s="132"/>
      <c r="AG666" s="132"/>
      <c r="AH666" s="132"/>
      <c r="AI666" s="132"/>
      <c r="AJ666" s="132"/>
      <c r="AK666" s="132"/>
      <c r="AL666" s="132"/>
      <c r="AM666" s="132"/>
      <c r="AN666" s="132"/>
      <c r="AO666" s="132"/>
      <c r="AP666" s="132"/>
      <c r="AQ666" s="141"/>
      <c r="AR666" s="132"/>
      <c r="AS666" s="132"/>
      <c r="AT666" s="47"/>
      <c r="AU666" s="7"/>
      <c r="AV666" s="134"/>
      <c r="AW666" s="132"/>
      <c r="AX666" s="132"/>
      <c r="AY666" s="132"/>
      <c r="AZ666" s="132"/>
      <c r="BA666" s="10"/>
      <c r="BB666" s="134"/>
      <c r="BC666" s="132"/>
      <c r="BD666" s="132"/>
      <c r="BE666" s="132"/>
      <c r="BF666" s="132"/>
      <c r="BG666" s="11"/>
      <c r="BH666" s="134"/>
      <c r="BI666" s="132"/>
      <c r="BJ666" s="132"/>
      <c r="BK666" s="132"/>
      <c r="BL666" s="132"/>
    </row>
    <row r="667" customFormat="false" ht="13.8" hidden="false" customHeight="false" outlineLevel="0" collapsed="false">
      <c r="A667" s="140"/>
      <c r="B667" s="140"/>
      <c r="C667" s="168"/>
      <c r="D667" s="132"/>
      <c r="E667" s="132"/>
      <c r="F667" s="132"/>
      <c r="G667" s="132"/>
      <c r="H667" s="132"/>
      <c r="I667" s="132"/>
      <c r="J667" s="132"/>
      <c r="K667" s="132"/>
      <c r="L667" s="132"/>
      <c r="M667" s="132"/>
      <c r="N667" s="140"/>
      <c r="O667" s="132"/>
      <c r="P667" s="132"/>
      <c r="Q667" s="132"/>
      <c r="R667" s="132"/>
      <c r="S667" s="132"/>
      <c r="T667" s="132"/>
      <c r="U667" s="132"/>
      <c r="V667" s="132"/>
      <c r="W667" s="132"/>
      <c r="X667" s="132"/>
      <c r="Y667" s="132"/>
      <c r="Z667" s="132"/>
      <c r="AA667" s="132"/>
      <c r="AB667" s="132"/>
      <c r="AC667" s="132"/>
      <c r="AD667" s="132"/>
      <c r="AE667" s="132"/>
      <c r="AF667" s="132"/>
      <c r="AG667" s="132"/>
      <c r="AH667" s="132"/>
      <c r="AI667" s="132"/>
      <c r="AJ667" s="132"/>
      <c r="AK667" s="132"/>
      <c r="AL667" s="132"/>
      <c r="AM667" s="132"/>
      <c r="AN667" s="132"/>
      <c r="AO667" s="132"/>
      <c r="AP667" s="132"/>
      <c r="AQ667" s="141"/>
      <c r="AR667" s="132"/>
      <c r="AS667" s="132"/>
      <c r="AT667" s="47"/>
      <c r="AU667" s="7"/>
      <c r="AV667" s="134"/>
      <c r="AW667" s="132"/>
      <c r="AX667" s="132"/>
      <c r="AY667" s="132"/>
      <c r="AZ667" s="132"/>
      <c r="BA667" s="10"/>
      <c r="BB667" s="134"/>
      <c r="BC667" s="132"/>
      <c r="BD667" s="132"/>
      <c r="BE667" s="132"/>
      <c r="BF667" s="132"/>
      <c r="BG667" s="11"/>
      <c r="BH667" s="134"/>
      <c r="BI667" s="132"/>
      <c r="BJ667" s="132"/>
      <c r="BK667" s="132"/>
      <c r="BL667" s="132"/>
    </row>
    <row r="668" customFormat="false" ht="13.8" hidden="false" customHeight="false" outlineLevel="0" collapsed="false">
      <c r="A668" s="140"/>
      <c r="B668" s="140"/>
      <c r="C668" s="168"/>
      <c r="D668" s="132"/>
      <c r="E668" s="132"/>
      <c r="F668" s="132"/>
      <c r="G668" s="132"/>
      <c r="H668" s="132"/>
      <c r="I668" s="132"/>
      <c r="J668" s="132"/>
      <c r="K668" s="132"/>
      <c r="L668" s="132"/>
      <c r="M668" s="132"/>
      <c r="N668" s="140"/>
      <c r="O668" s="132"/>
      <c r="P668" s="132"/>
      <c r="Q668" s="132"/>
      <c r="R668" s="132"/>
      <c r="S668" s="132"/>
      <c r="T668" s="132"/>
      <c r="U668" s="132"/>
      <c r="V668" s="132"/>
      <c r="W668" s="132"/>
      <c r="X668" s="132"/>
      <c r="Y668" s="132"/>
      <c r="Z668" s="132"/>
      <c r="AA668" s="132"/>
      <c r="AB668" s="132"/>
      <c r="AC668" s="132"/>
      <c r="AD668" s="132"/>
      <c r="AE668" s="132"/>
      <c r="AF668" s="132"/>
      <c r="AG668" s="132"/>
      <c r="AH668" s="132"/>
      <c r="AI668" s="132"/>
      <c r="AJ668" s="132"/>
      <c r="AK668" s="132"/>
      <c r="AL668" s="132"/>
      <c r="AM668" s="132"/>
      <c r="AN668" s="132"/>
      <c r="AO668" s="132"/>
      <c r="AP668" s="132"/>
      <c r="AQ668" s="141"/>
      <c r="AR668" s="132"/>
      <c r="AS668" s="132"/>
      <c r="AT668" s="47"/>
      <c r="AU668" s="7"/>
      <c r="AV668" s="134"/>
      <c r="AW668" s="132"/>
      <c r="AX668" s="132"/>
      <c r="AY668" s="132"/>
      <c r="AZ668" s="132"/>
      <c r="BA668" s="10"/>
      <c r="BB668" s="134"/>
      <c r="BC668" s="132"/>
      <c r="BD668" s="132"/>
      <c r="BE668" s="132"/>
      <c r="BF668" s="132"/>
      <c r="BG668" s="11"/>
      <c r="BH668" s="134"/>
      <c r="BI668" s="132"/>
      <c r="BJ668" s="132"/>
      <c r="BK668" s="132"/>
      <c r="BL668" s="132"/>
    </row>
    <row r="669" customFormat="false" ht="13.8" hidden="false" customHeight="false" outlineLevel="0" collapsed="false">
      <c r="A669" s="140"/>
      <c r="B669" s="140"/>
      <c r="C669" s="168"/>
      <c r="D669" s="132"/>
      <c r="E669" s="132"/>
      <c r="F669" s="132"/>
      <c r="G669" s="132"/>
      <c r="H669" s="132"/>
      <c r="I669" s="132"/>
      <c r="J669" s="132"/>
      <c r="K669" s="132"/>
      <c r="L669" s="132"/>
      <c r="M669" s="132"/>
      <c r="N669" s="140"/>
      <c r="O669" s="132"/>
      <c r="P669" s="132"/>
      <c r="Q669" s="132"/>
      <c r="R669" s="132"/>
      <c r="S669" s="132"/>
      <c r="T669" s="132"/>
      <c r="U669" s="132"/>
      <c r="V669" s="132"/>
      <c r="W669" s="132"/>
      <c r="X669" s="132"/>
      <c r="Y669" s="132"/>
      <c r="Z669" s="132"/>
      <c r="AA669" s="132"/>
      <c r="AB669" s="132"/>
      <c r="AC669" s="132"/>
      <c r="AD669" s="132"/>
      <c r="AE669" s="132"/>
      <c r="AF669" s="132"/>
      <c r="AG669" s="132"/>
      <c r="AH669" s="132"/>
      <c r="AI669" s="132"/>
      <c r="AJ669" s="132"/>
      <c r="AK669" s="132"/>
      <c r="AL669" s="132"/>
      <c r="AM669" s="132"/>
      <c r="AN669" s="132"/>
      <c r="AO669" s="132"/>
      <c r="AP669" s="132"/>
      <c r="AQ669" s="141"/>
      <c r="AR669" s="132"/>
      <c r="AS669" s="132"/>
      <c r="AT669" s="47"/>
      <c r="AU669" s="7"/>
      <c r="AV669" s="134"/>
      <c r="AW669" s="132"/>
      <c r="AX669" s="132"/>
      <c r="AY669" s="132"/>
      <c r="AZ669" s="132"/>
      <c r="BA669" s="10"/>
      <c r="BB669" s="134"/>
      <c r="BC669" s="132"/>
      <c r="BD669" s="132"/>
      <c r="BE669" s="132"/>
      <c r="BF669" s="132"/>
      <c r="BG669" s="11"/>
      <c r="BH669" s="134"/>
      <c r="BI669" s="132"/>
      <c r="BJ669" s="132"/>
      <c r="BK669" s="132"/>
      <c r="BL669" s="132"/>
    </row>
    <row r="670" customFormat="false" ht="13.8" hidden="false" customHeight="false" outlineLevel="0" collapsed="false">
      <c r="A670" s="140"/>
      <c r="B670" s="140"/>
      <c r="C670" s="168"/>
      <c r="D670" s="132"/>
      <c r="E670" s="132"/>
      <c r="F670" s="132"/>
      <c r="G670" s="132"/>
      <c r="H670" s="132"/>
      <c r="I670" s="132"/>
      <c r="J670" s="132"/>
      <c r="K670" s="132"/>
      <c r="L670" s="132"/>
      <c r="M670" s="132"/>
      <c r="N670" s="140"/>
      <c r="O670" s="132"/>
      <c r="P670" s="132"/>
      <c r="Q670" s="132"/>
      <c r="R670" s="132"/>
      <c r="S670" s="132"/>
      <c r="T670" s="132"/>
      <c r="U670" s="132"/>
      <c r="V670" s="132"/>
      <c r="W670" s="132"/>
      <c r="X670" s="132"/>
      <c r="Y670" s="132"/>
      <c r="Z670" s="132"/>
      <c r="AA670" s="132"/>
      <c r="AB670" s="132"/>
      <c r="AC670" s="132"/>
      <c r="AD670" s="132"/>
      <c r="AE670" s="132"/>
      <c r="AF670" s="132"/>
      <c r="AG670" s="132"/>
      <c r="AH670" s="132"/>
      <c r="AI670" s="132"/>
      <c r="AJ670" s="132"/>
      <c r="AK670" s="132"/>
      <c r="AL670" s="132"/>
      <c r="AM670" s="132"/>
      <c r="AN670" s="132"/>
      <c r="AO670" s="132"/>
      <c r="AP670" s="132"/>
      <c r="AQ670" s="141"/>
      <c r="AR670" s="132"/>
      <c r="AS670" s="132"/>
      <c r="AT670" s="47"/>
      <c r="AU670" s="7"/>
      <c r="AV670" s="134"/>
      <c r="AW670" s="132"/>
      <c r="AX670" s="132"/>
      <c r="AY670" s="132"/>
      <c r="AZ670" s="132"/>
      <c r="BA670" s="10"/>
      <c r="BB670" s="134"/>
      <c r="BC670" s="132"/>
      <c r="BD670" s="132"/>
      <c r="BE670" s="132"/>
      <c r="BF670" s="132"/>
      <c r="BG670" s="11"/>
      <c r="BH670" s="134"/>
      <c r="BI670" s="132"/>
      <c r="BJ670" s="132"/>
      <c r="BK670" s="132"/>
      <c r="BL670" s="132"/>
    </row>
    <row r="671" customFormat="false" ht="13.8" hidden="false" customHeight="false" outlineLevel="0" collapsed="false">
      <c r="A671" s="140"/>
      <c r="B671" s="140"/>
      <c r="C671" s="168"/>
      <c r="D671" s="132"/>
      <c r="E671" s="132"/>
      <c r="F671" s="132"/>
      <c r="G671" s="132"/>
      <c r="H671" s="132"/>
      <c r="I671" s="132"/>
      <c r="J671" s="132"/>
      <c r="K671" s="132"/>
      <c r="L671" s="132"/>
      <c r="M671" s="132"/>
      <c r="N671" s="140"/>
      <c r="O671" s="132"/>
      <c r="P671" s="132"/>
      <c r="Q671" s="132"/>
      <c r="R671" s="132"/>
      <c r="S671" s="132"/>
      <c r="T671" s="132"/>
      <c r="U671" s="132"/>
      <c r="V671" s="132"/>
      <c r="W671" s="132"/>
      <c r="X671" s="132"/>
      <c r="Y671" s="132"/>
      <c r="Z671" s="132"/>
      <c r="AA671" s="132"/>
      <c r="AB671" s="132"/>
      <c r="AC671" s="132"/>
      <c r="AD671" s="132"/>
      <c r="AE671" s="132"/>
      <c r="AF671" s="132"/>
      <c r="AG671" s="132"/>
      <c r="AH671" s="132"/>
      <c r="AI671" s="132"/>
      <c r="AJ671" s="132"/>
      <c r="AK671" s="132"/>
      <c r="AL671" s="132"/>
      <c r="AM671" s="132"/>
      <c r="AN671" s="132"/>
      <c r="AO671" s="132"/>
      <c r="AP671" s="132"/>
      <c r="AQ671" s="141"/>
      <c r="AR671" s="132"/>
      <c r="AS671" s="132"/>
      <c r="AT671" s="47"/>
      <c r="AU671" s="7"/>
      <c r="AV671" s="134"/>
      <c r="AW671" s="132"/>
      <c r="AX671" s="132"/>
      <c r="AY671" s="132"/>
      <c r="AZ671" s="132"/>
      <c r="BA671" s="10"/>
      <c r="BB671" s="134"/>
      <c r="BC671" s="132"/>
      <c r="BD671" s="132"/>
      <c r="BE671" s="132"/>
      <c r="BF671" s="132"/>
      <c r="BG671" s="11"/>
      <c r="BH671" s="134"/>
      <c r="BI671" s="132"/>
      <c r="BJ671" s="132"/>
      <c r="BK671" s="132"/>
      <c r="BL671" s="132"/>
    </row>
    <row r="672" customFormat="false" ht="13.8" hidden="false" customHeight="false" outlineLevel="0" collapsed="false">
      <c r="A672" s="140"/>
      <c r="B672" s="140"/>
      <c r="C672" s="168"/>
      <c r="D672" s="132"/>
      <c r="E672" s="132"/>
      <c r="F672" s="132"/>
      <c r="G672" s="132"/>
      <c r="H672" s="132"/>
      <c r="I672" s="132"/>
      <c r="J672" s="132"/>
      <c r="K672" s="132"/>
      <c r="L672" s="132"/>
      <c r="M672" s="132"/>
      <c r="N672" s="140"/>
      <c r="O672" s="132"/>
      <c r="P672" s="132"/>
      <c r="Q672" s="132"/>
      <c r="R672" s="132"/>
      <c r="S672" s="132"/>
      <c r="T672" s="132"/>
      <c r="U672" s="132"/>
      <c r="V672" s="132"/>
      <c r="W672" s="132"/>
      <c r="X672" s="132"/>
      <c r="Y672" s="132"/>
      <c r="Z672" s="132"/>
      <c r="AA672" s="132"/>
      <c r="AB672" s="132"/>
      <c r="AC672" s="132"/>
      <c r="AD672" s="132"/>
      <c r="AE672" s="132"/>
      <c r="AF672" s="132"/>
      <c r="AG672" s="132"/>
      <c r="AH672" s="132"/>
      <c r="AI672" s="132"/>
      <c r="AJ672" s="132"/>
      <c r="AK672" s="132"/>
      <c r="AL672" s="132"/>
      <c r="AM672" s="132"/>
      <c r="AN672" s="132"/>
      <c r="AO672" s="132"/>
      <c r="AP672" s="132"/>
      <c r="AQ672" s="141"/>
      <c r="AR672" s="132"/>
      <c r="AS672" s="132"/>
      <c r="AT672" s="47"/>
      <c r="AU672" s="7"/>
      <c r="AV672" s="134"/>
      <c r="AW672" s="132"/>
      <c r="AX672" s="132"/>
      <c r="AY672" s="132"/>
      <c r="AZ672" s="132"/>
      <c r="BA672" s="10"/>
      <c r="BB672" s="134"/>
      <c r="BC672" s="132"/>
      <c r="BD672" s="132"/>
      <c r="BE672" s="132"/>
      <c r="BF672" s="132"/>
      <c r="BG672" s="11"/>
      <c r="BH672" s="134"/>
      <c r="BI672" s="132"/>
      <c r="BJ672" s="132"/>
      <c r="BK672" s="132"/>
      <c r="BL672" s="132"/>
    </row>
    <row r="673" customFormat="false" ht="13.8" hidden="false" customHeight="false" outlineLevel="0" collapsed="false">
      <c r="A673" s="140"/>
      <c r="B673" s="140"/>
      <c r="C673" s="168"/>
      <c r="D673" s="132"/>
      <c r="E673" s="132"/>
      <c r="F673" s="132"/>
      <c r="G673" s="132"/>
      <c r="H673" s="132"/>
      <c r="I673" s="132"/>
      <c r="J673" s="132"/>
      <c r="K673" s="132"/>
      <c r="L673" s="132"/>
      <c r="M673" s="132"/>
      <c r="N673" s="140"/>
      <c r="O673" s="132"/>
      <c r="P673" s="132"/>
      <c r="Q673" s="132"/>
      <c r="R673" s="132"/>
      <c r="S673" s="132"/>
      <c r="T673" s="132"/>
      <c r="U673" s="132"/>
      <c r="V673" s="132"/>
      <c r="W673" s="132"/>
      <c r="X673" s="132"/>
      <c r="Y673" s="132"/>
      <c r="Z673" s="132"/>
      <c r="AA673" s="132"/>
      <c r="AB673" s="132"/>
      <c r="AC673" s="132"/>
      <c r="AD673" s="132"/>
      <c r="AE673" s="132"/>
      <c r="AF673" s="132"/>
      <c r="AG673" s="132"/>
      <c r="AH673" s="132"/>
      <c r="AI673" s="132"/>
      <c r="AJ673" s="132"/>
      <c r="AK673" s="132"/>
      <c r="AL673" s="132"/>
      <c r="AM673" s="132"/>
      <c r="AN673" s="132"/>
      <c r="AO673" s="132"/>
      <c r="AP673" s="132"/>
      <c r="AQ673" s="141"/>
      <c r="AR673" s="132"/>
      <c r="AS673" s="132"/>
      <c r="AT673" s="47"/>
      <c r="AU673" s="7"/>
      <c r="AV673" s="134"/>
      <c r="AW673" s="132"/>
      <c r="AX673" s="132"/>
      <c r="AY673" s="132"/>
      <c r="AZ673" s="132"/>
      <c r="BA673" s="10"/>
      <c r="BB673" s="134"/>
      <c r="BC673" s="132"/>
      <c r="BD673" s="132"/>
      <c r="BE673" s="132"/>
      <c r="BF673" s="132"/>
      <c r="BG673" s="11"/>
      <c r="BH673" s="134"/>
      <c r="BI673" s="132"/>
      <c r="BJ673" s="132"/>
      <c r="BK673" s="132"/>
      <c r="BL673" s="132"/>
    </row>
    <row r="674" customFormat="false" ht="13.8" hidden="false" customHeight="false" outlineLevel="0" collapsed="false">
      <c r="A674" s="140"/>
      <c r="B674" s="140"/>
      <c r="C674" s="168"/>
      <c r="D674" s="132"/>
      <c r="E674" s="132"/>
      <c r="F674" s="132"/>
      <c r="G674" s="132"/>
      <c r="H674" s="132"/>
      <c r="I674" s="132"/>
      <c r="J674" s="132"/>
      <c r="K674" s="132"/>
      <c r="L674" s="132"/>
      <c r="M674" s="132"/>
      <c r="N674" s="140"/>
      <c r="O674" s="132"/>
      <c r="P674" s="132"/>
      <c r="Q674" s="132"/>
      <c r="R674" s="132"/>
      <c r="S674" s="132"/>
      <c r="T674" s="132"/>
      <c r="U674" s="132"/>
      <c r="V674" s="132"/>
      <c r="W674" s="132"/>
      <c r="X674" s="132"/>
      <c r="Y674" s="132"/>
      <c r="Z674" s="132"/>
      <c r="AA674" s="132"/>
      <c r="AB674" s="132"/>
      <c r="AC674" s="132"/>
      <c r="AD674" s="132"/>
      <c r="AE674" s="132"/>
      <c r="AF674" s="132"/>
      <c r="AG674" s="132"/>
      <c r="AH674" s="132"/>
      <c r="AI674" s="132"/>
      <c r="AJ674" s="132"/>
      <c r="AK674" s="132"/>
      <c r="AL674" s="132"/>
      <c r="AM674" s="132"/>
      <c r="AN674" s="132"/>
      <c r="AO674" s="132"/>
      <c r="AP674" s="132"/>
      <c r="AQ674" s="141"/>
      <c r="AR674" s="132"/>
      <c r="AS674" s="132"/>
      <c r="AT674" s="47"/>
      <c r="AU674" s="7"/>
      <c r="AV674" s="134"/>
      <c r="AW674" s="132"/>
      <c r="AX674" s="132"/>
      <c r="AY674" s="132"/>
      <c r="AZ674" s="132"/>
      <c r="BA674" s="10"/>
      <c r="BB674" s="134"/>
      <c r="BC674" s="132"/>
      <c r="BD674" s="132"/>
      <c r="BE674" s="132"/>
      <c r="BF674" s="132"/>
      <c r="BG674" s="11"/>
      <c r="BH674" s="134"/>
      <c r="BI674" s="132"/>
      <c r="BJ674" s="132"/>
      <c r="BK674" s="132"/>
      <c r="BL674" s="132"/>
    </row>
    <row r="675" customFormat="false" ht="13.8" hidden="false" customHeight="false" outlineLevel="0" collapsed="false">
      <c r="A675" s="140"/>
      <c r="B675" s="140"/>
      <c r="C675" s="168"/>
      <c r="D675" s="132"/>
      <c r="E675" s="132"/>
      <c r="F675" s="132"/>
      <c r="G675" s="132"/>
      <c r="H675" s="132"/>
      <c r="I675" s="132"/>
      <c r="J675" s="132"/>
      <c r="K675" s="132"/>
      <c r="L675" s="132"/>
      <c r="M675" s="132"/>
      <c r="N675" s="140"/>
      <c r="O675" s="132"/>
      <c r="P675" s="132"/>
      <c r="Q675" s="132"/>
      <c r="R675" s="132"/>
      <c r="S675" s="132"/>
      <c r="T675" s="132"/>
      <c r="U675" s="132"/>
      <c r="V675" s="132"/>
      <c r="W675" s="132"/>
      <c r="X675" s="132"/>
      <c r="Y675" s="132"/>
      <c r="Z675" s="132"/>
      <c r="AA675" s="132"/>
      <c r="AB675" s="132"/>
      <c r="AC675" s="132"/>
      <c r="AD675" s="132"/>
      <c r="AE675" s="132"/>
      <c r="AF675" s="132"/>
      <c r="AG675" s="132"/>
      <c r="AH675" s="132"/>
      <c r="AI675" s="132"/>
      <c r="AJ675" s="132"/>
      <c r="AK675" s="132"/>
      <c r="AL675" s="132"/>
      <c r="AM675" s="132"/>
      <c r="AN675" s="132"/>
      <c r="AO675" s="132"/>
      <c r="AP675" s="132"/>
      <c r="AQ675" s="141"/>
      <c r="AR675" s="132"/>
      <c r="AS675" s="132"/>
      <c r="AT675" s="47"/>
      <c r="AU675" s="7"/>
      <c r="AV675" s="134"/>
      <c r="AW675" s="132"/>
      <c r="AX675" s="132"/>
      <c r="AY675" s="132"/>
      <c r="AZ675" s="132"/>
      <c r="BA675" s="10"/>
      <c r="BB675" s="134"/>
      <c r="BC675" s="132"/>
      <c r="BD675" s="132"/>
      <c r="BE675" s="132"/>
      <c r="BF675" s="132"/>
      <c r="BG675" s="11"/>
      <c r="BH675" s="134"/>
      <c r="BI675" s="132"/>
      <c r="BJ675" s="132"/>
      <c r="BK675" s="132"/>
      <c r="BL675" s="132"/>
    </row>
    <row r="676" customFormat="false" ht="13.8" hidden="false" customHeight="false" outlineLevel="0" collapsed="false">
      <c r="A676" s="140"/>
      <c r="B676" s="140"/>
      <c r="C676" s="168"/>
      <c r="D676" s="132"/>
      <c r="E676" s="132"/>
      <c r="F676" s="132"/>
      <c r="G676" s="132"/>
      <c r="H676" s="132"/>
      <c r="I676" s="132"/>
      <c r="J676" s="132"/>
      <c r="K676" s="132"/>
      <c r="L676" s="132"/>
      <c r="M676" s="132"/>
      <c r="N676" s="140"/>
      <c r="O676" s="132"/>
      <c r="P676" s="132"/>
      <c r="Q676" s="132"/>
      <c r="R676" s="132"/>
      <c r="S676" s="132"/>
      <c r="T676" s="132"/>
      <c r="U676" s="132"/>
      <c r="V676" s="132"/>
      <c r="W676" s="132"/>
      <c r="X676" s="132"/>
      <c r="Y676" s="132"/>
      <c r="Z676" s="132"/>
      <c r="AA676" s="132"/>
      <c r="AB676" s="132"/>
      <c r="AC676" s="132"/>
      <c r="AD676" s="132"/>
      <c r="AE676" s="132"/>
      <c r="AF676" s="132"/>
      <c r="AG676" s="132"/>
      <c r="AH676" s="132"/>
      <c r="AI676" s="132"/>
      <c r="AJ676" s="132"/>
      <c r="AK676" s="132"/>
      <c r="AL676" s="132"/>
      <c r="AM676" s="132"/>
      <c r="AN676" s="132"/>
      <c r="AO676" s="132"/>
      <c r="AP676" s="132"/>
      <c r="AQ676" s="141"/>
      <c r="AR676" s="132"/>
      <c r="AS676" s="132"/>
      <c r="AT676" s="47"/>
      <c r="AU676" s="7"/>
      <c r="AV676" s="134"/>
      <c r="AW676" s="132"/>
      <c r="AX676" s="132"/>
      <c r="AY676" s="132"/>
      <c r="AZ676" s="132"/>
      <c r="BA676" s="10"/>
      <c r="BB676" s="134"/>
      <c r="BC676" s="132"/>
      <c r="BD676" s="132"/>
      <c r="BE676" s="132"/>
      <c r="BF676" s="132"/>
      <c r="BG676" s="11"/>
      <c r="BH676" s="134"/>
      <c r="BI676" s="132"/>
      <c r="BJ676" s="132"/>
      <c r="BK676" s="132"/>
      <c r="BL676" s="132"/>
    </row>
    <row r="677" customFormat="false" ht="13.8" hidden="false" customHeight="false" outlineLevel="0" collapsed="false">
      <c r="A677" s="140"/>
      <c r="B677" s="140"/>
      <c r="C677" s="168"/>
      <c r="D677" s="132"/>
      <c r="E677" s="132"/>
      <c r="F677" s="132"/>
      <c r="G677" s="132"/>
      <c r="H677" s="132"/>
      <c r="I677" s="132"/>
      <c r="J677" s="132"/>
      <c r="K677" s="132"/>
      <c r="L677" s="132"/>
      <c r="M677" s="132"/>
      <c r="N677" s="140"/>
      <c r="O677" s="132"/>
      <c r="P677" s="132"/>
      <c r="Q677" s="132"/>
      <c r="R677" s="132"/>
      <c r="S677" s="132"/>
      <c r="T677" s="132"/>
      <c r="U677" s="132"/>
      <c r="V677" s="132"/>
      <c r="W677" s="132"/>
      <c r="X677" s="132"/>
      <c r="Y677" s="132"/>
      <c r="Z677" s="132"/>
      <c r="AA677" s="132"/>
      <c r="AB677" s="132"/>
      <c r="AC677" s="132"/>
      <c r="AD677" s="132"/>
      <c r="AE677" s="132"/>
      <c r="AF677" s="132"/>
      <c r="AG677" s="132"/>
      <c r="AH677" s="132"/>
      <c r="AI677" s="132"/>
      <c r="AJ677" s="132"/>
      <c r="AK677" s="132"/>
      <c r="AL677" s="132"/>
      <c r="AM677" s="132"/>
      <c r="AN677" s="132"/>
      <c r="AO677" s="132"/>
      <c r="AP677" s="132"/>
      <c r="AQ677" s="141"/>
      <c r="AR677" s="132"/>
      <c r="AS677" s="132"/>
      <c r="AT677" s="47"/>
      <c r="AU677" s="7"/>
      <c r="AV677" s="134"/>
      <c r="AW677" s="132"/>
      <c r="AX677" s="132"/>
      <c r="AY677" s="132"/>
      <c r="AZ677" s="132"/>
      <c r="BA677" s="10"/>
      <c r="BB677" s="134"/>
      <c r="BC677" s="132"/>
      <c r="BD677" s="132"/>
      <c r="BE677" s="132"/>
      <c r="BF677" s="132"/>
      <c r="BG677" s="11"/>
      <c r="BH677" s="134"/>
      <c r="BI677" s="132"/>
      <c r="BJ677" s="132"/>
      <c r="BK677" s="132"/>
      <c r="BL677" s="132"/>
    </row>
    <row r="678" customFormat="false" ht="13.8" hidden="false" customHeight="false" outlineLevel="0" collapsed="false">
      <c r="A678" s="140"/>
      <c r="B678" s="140"/>
      <c r="C678" s="168"/>
      <c r="D678" s="132"/>
      <c r="E678" s="132"/>
      <c r="F678" s="132"/>
      <c r="G678" s="132"/>
      <c r="H678" s="132"/>
      <c r="I678" s="132"/>
      <c r="J678" s="132"/>
      <c r="K678" s="132"/>
      <c r="L678" s="132"/>
      <c r="M678" s="132"/>
      <c r="N678" s="140"/>
      <c r="O678" s="132"/>
      <c r="P678" s="132"/>
      <c r="Q678" s="132"/>
      <c r="R678" s="132"/>
      <c r="S678" s="132"/>
      <c r="T678" s="132"/>
      <c r="U678" s="132"/>
      <c r="V678" s="132"/>
      <c r="W678" s="132"/>
      <c r="X678" s="132"/>
      <c r="Y678" s="132"/>
      <c r="Z678" s="132"/>
      <c r="AA678" s="132"/>
      <c r="AB678" s="132"/>
      <c r="AC678" s="132"/>
      <c r="AD678" s="132"/>
      <c r="AE678" s="132"/>
      <c r="AF678" s="132"/>
      <c r="AG678" s="132"/>
      <c r="AH678" s="132"/>
      <c r="AI678" s="132"/>
      <c r="AJ678" s="132"/>
      <c r="AK678" s="132"/>
      <c r="AL678" s="132"/>
      <c r="AM678" s="132"/>
      <c r="AN678" s="132"/>
      <c r="AO678" s="132"/>
      <c r="AP678" s="132"/>
      <c r="AQ678" s="141"/>
      <c r="AR678" s="132"/>
      <c r="AS678" s="132"/>
      <c r="AT678" s="47"/>
      <c r="AU678" s="7"/>
      <c r="AV678" s="134"/>
      <c r="AW678" s="132"/>
      <c r="AX678" s="132"/>
      <c r="AY678" s="132"/>
      <c r="AZ678" s="132"/>
      <c r="BA678" s="10"/>
      <c r="BB678" s="134"/>
      <c r="BC678" s="132"/>
      <c r="BD678" s="132"/>
      <c r="BE678" s="132"/>
      <c r="BF678" s="132"/>
      <c r="BG678" s="11"/>
      <c r="BH678" s="134"/>
      <c r="BI678" s="132"/>
      <c r="BJ678" s="132"/>
      <c r="BK678" s="132"/>
      <c r="BL678" s="132"/>
    </row>
    <row r="679" customFormat="false" ht="13.8" hidden="false" customHeight="false" outlineLevel="0" collapsed="false">
      <c r="A679" s="140"/>
      <c r="B679" s="140"/>
      <c r="C679" s="168"/>
      <c r="D679" s="132"/>
      <c r="E679" s="132"/>
      <c r="F679" s="132"/>
      <c r="G679" s="132"/>
      <c r="H679" s="132"/>
      <c r="I679" s="132"/>
      <c r="J679" s="132"/>
      <c r="K679" s="132"/>
      <c r="L679" s="132"/>
      <c r="M679" s="132"/>
      <c r="N679" s="140"/>
      <c r="O679" s="132"/>
      <c r="P679" s="132"/>
      <c r="Q679" s="132"/>
      <c r="R679" s="132"/>
      <c r="S679" s="132"/>
      <c r="T679" s="132"/>
      <c r="U679" s="132"/>
      <c r="V679" s="132"/>
      <c r="W679" s="132"/>
      <c r="X679" s="132"/>
      <c r="Y679" s="132"/>
      <c r="Z679" s="132"/>
      <c r="AA679" s="132"/>
      <c r="AB679" s="132"/>
      <c r="AC679" s="132"/>
      <c r="AD679" s="132"/>
      <c r="AE679" s="132"/>
      <c r="AF679" s="132"/>
      <c r="AG679" s="132"/>
      <c r="AH679" s="132"/>
      <c r="AI679" s="132"/>
      <c r="AJ679" s="132"/>
      <c r="AK679" s="132"/>
      <c r="AL679" s="132"/>
      <c r="AM679" s="132"/>
      <c r="AN679" s="132"/>
      <c r="AO679" s="132"/>
      <c r="AP679" s="132"/>
      <c r="AQ679" s="141"/>
      <c r="AR679" s="132"/>
      <c r="AS679" s="132"/>
      <c r="AT679" s="47"/>
      <c r="AU679" s="7"/>
      <c r="AV679" s="134"/>
      <c r="AW679" s="132"/>
      <c r="AX679" s="132"/>
      <c r="AY679" s="132"/>
      <c r="AZ679" s="132"/>
      <c r="BA679" s="10"/>
      <c r="BB679" s="134"/>
      <c r="BC679" s="132"/>
      <c r="BD679" s="132"/>
      <c r="BE679" s="132"/>
      <c r="BF679" s="132"/>
      <c r="BG679" s="11"/>
      <c r="BH679" s="134"/>
      <c r="BI679" s="132"/>
      <c r="BJ679" s="132"/>
      <c r="BK679" s="132"/>
      <c r="BL679" s="132"/>
    </row>
    <row r="680" customFormat="false" ht="13.8" hidden="false" customHeight="false" outlineLevel="0" collapsed="false">
      <c r="A680" s="140"/>
      <c r="B680" s="140"/>
      <c r="C680" s="168"/>
      <c r="D680" s="132"/>
      <c r="E680" s="132"/>
      <c r="F680" s="132"/>
      <c r="G680" s="132"/>
      <c r="H680" s="132"/>
      <c r="I680" s="132"/>
      <c r="J680" s="132"/>
      <c r="K680" s="132"/>
      <c r="L680" s="132"/>
      <c r="M680" s="132"/>
      <c r="N680" s="140"/>
      <c r="O680" s="132"/>
      <c r="P680" s="132"/>
      <c r="Q680" s="132"/>
      <c r="R680" s="132"/>
      <c r="S680" s="132"/>
      <c r="T680" s="132"/>
      <c r="U680" s="132"/>
      <c r="V680" s="132"/>
      <c r="W680" s="132"/>
      <c r="X680" s="132"/>
      <c r="Y680" s="132"/>
      <c r="Z680" s="132"/>
      <c r="AA680" s="132"/>
      <c r="AB680" s="132"/>
      <c r="AC680" s="132"/>
      <c r="AD680" s="132"/>
      <c r="AE680" s="132"/>
      <c r="AF680" s="132"/>
      <c r="AG680" s="132"/>
      <c r="AH680" s="132"/>
      <c r="AI680" s="132"/>
      <c r="AJ680" s="132"/>
      <c r="AK680" s="132"/>
      <c r="AL680" s="132"/>
      <c r="AM680" s="132"/>
      <c r="AN680" s="132"/>
      <c r="AO680" s="132"/>
      <c r="AP680" s="132"/>
      <c r="AQ680" s="141"/>
      <c r="AR680" s="132"/>
      <c r="AS680" s="132"/>
      <c r="AT680" s="47"/>
      <c r="AU680" s="7"/>
      <c r="AV680" s="134"/>
      <c r="AW680" s="132"/>
      <c r="AX680" s="132"/>
      <c r="AY680" s="132"/>
      <c r="AZ680" s="132"/>
      <c r="BA680" s="10"/>
      <c r="BB680" s="134"/>
      <c r="BC680" s="132"/>
      <c r="BD680" s="132"/>
      <c r="BE680" s="132"/>
      <c r="BF680" s="132"/>
      <c r="BG680" s="11"/>
      <c r="BH680" s="134"/>
      <c r="BI680" s="132"/>
      <c r="BJ680" s="132"/>
      <c r="BK680" s="132"/>
      <c r="BL680" s="132"/>
    </row>
    <row r="681" customFormat="false" ht="13.8" hidden="false" customHeight="false" outlineLevel="0" collapsed="false">
      <c r="A681" s="140"/>
      <c r="B681" s="140"/>
      <c r="C681" s="168"/>
      <c r="D681" s="132"/>
      <c r="E681" s="132"/>
      <c r="F681" s="132"/>
      <c r="G681" s="132"/>
      <c r="H681" s="132"/>
      <c r="I681" s="132"/>
      <c r="J681" s="132"/>
      <c r="K681" s="132"/>
      <c r="L681" s="132"/>
      <c r="M681" s="132"/>
      <c r="N681" s="140"/>
      <c r="O681" s="132"/>
      <c r="P681" s="132"/>
      <c r="Q681" s="132"/>
      <c r="R681" s="132"/>
      <c r="S681" s="132"/>
      <c r="T681" s="132"/>
      <c r="U681" s="132"/>
      <c r="V681" s="132"/>
      <c r="W681" s="132"/>
      <c r="X681" s="132"/>
      <c r="Y681" s="132"/>
      <c r="Z681" s="132"/>
      <c r="AA681" s="132"/>
      <c r="AB681" s="132"/>
      <c r="AC681" s="132"/>
      <c r="AD681" s="132"/>
      <c r="AE681" s="132"/>
      <c r="AF681" s="132"/>
      <c r="AG681" s="132"/>
      <c r="AH681" s="132"/>
      <c r="AI681" s="132"/>
      <c r="AJ681" s="132"/>
      <c r="AK681" s="132"/>
      <c r="AL681" s="132"/>
      <c r="AM681" s="132"/>
      <c r="AN681" s="132"/>
      <c r="AO681" s="132"/>
      <c r="AP681" s="132"/>
      <c r="AQ681" s="141"/>
      <c r="AR681" s="132"/>
      <c r="AS681" s="132"/>
      <c r="AT681" s="47"/>
      <c r="AU681" s="7"/>
      <c r="AV681" s="134"/>
      <c r="AW681" s="132"/>
      <c r="AX681" s="132"/>
      <c r="AY681" s="132"/>
      <c r="AZ681" s="132"/>
      <c r="BA681" s="10"/>
      <c r="BB681" s="134"/>
      <c r="BC681" s="132"/>
      <c r="BD681" s="132"/>
      <c r="BE681" s="132"/>
      <c r="BF681" s="132"/>
      <c r="BG681" s="11"/>
      <c r="BH681" s="134"/>
      <c r="BI681" s="132"/>
      <c r="BJ681" s="132"/>
      <c r="BK681" s="132"/>
      <c r="BL681" s="132"/>
    </row>
    <row r="682" customFormat="false" ht="13.8" hidden="false" customHeight="false" outlineLevel="0" collapsed="false">
      <c r="A682" s="140"/>
      <c r="B682" s="140"/>
      <c r="C682" s="168"/>
      <c r="D682" s="132"/>
      <c r="E682" s="132"/>
      <c r="F682" s="132"/>
      <c r="G682" s="132"/>
      <c r="H682" s="132"/>
      <c r="I682" s="132"/>
      <c r="J682" s="132"/>
      <c r="K682" s="132"/>
      <c r="L682" s="132"/>
      <c r="M682" s="132"/>
      <c r="N682" s="140"/>
      <c r="O682" s="132"/>
      <c r="P682" s="132"/>
      <c r="Q682" s="132"/>
      <c r="R682" s="132"/>
      <c r="S682" s="132"/>
      <c r="T682" s="132"/>
      <c r="U682" s="132"/>
      <c r="V682" s="132"/>
      <c r="W682" s="132"/>
      <c r="X682" s="132"/>
      <c r="Y682" s="132"/>
      <c r="Z682" s="132"/>
      <c r="AA682" s="132"/>
      <c r="AB682" s="132"/>
      <c r="AC682" s="132"/>
      <c r="AD682" s="132"/>
      <c r="AE682" s="132"/>
      <c r="AF682" s="132"/>
      <c r="AG682" s="132"/>
      <c r="AH682" s="132"/>
      <c r="AI682" s="132"/>
      <c r="AJ682" s="132"/>
      <c r="AK682" s="132"/>
      <c r="AL682" s="132"/>
      <c r="AM682" s="132"/>
      <c r="AN682" s="132"/>
      <c r="AO682" s="132"/>
      <c r="AP682" s="132"/>
      <c r="AQ682" s="141"/>
      <c r="AR682" s="132"/>
      <c r="AS682" s="132"/>
      <c r="AT682" s="47"/>
      <c r="AU682" s="7"/>
      <c r="AV682" s="134"/>
      <c r="AW682" s="132"/>
      <c r="AX682" s="132"/>
      <c r="AY682" s="132"/>
      <c r="AZ682" s="132"/>
      <c r="BA682" s="10"/>
      <c r="BB682" s="134"/>
      <c r="BC682" s="132"/>
      <c r="BD682" s="132"/>
      <c r="BE682" s="132"/>
      <c r="BF682" s="132"/>
      <c r="BG682" s="11"/>
      <c r="BH682" s="134"/>
      <c r="BI682" s="132"/>
      <c r="BJ682" s="132"/>
      <c r="BK682" s="132"/>
      <c r="BL682" s="132"/>
    </row>
    <row r="683" customFormat="false" ht="13.8" hidden="false" customHeight="false" outlineLevel="0" collapsed="false">
      <c r="A683" s="140"/>
      <c r="B683" s="140"/>
      <c r="C683" s="168"/>
      <c r="D683" s="132"/>
      <c r="E683" s="132"/>
      <c r="F683" s="132"/>
      <c r="G683" s="132"/>
      <c r="H683" s="132"/>
      <c r="I683" s="132"/>
      <c r="J683" s="132"/>
      <c r="K683" s="132"/>
      <c r="L683" s="132"/>
      <c r="M683" s="132"/>
      <c r="N683" s="140"/>
      <c r="O683" s="132"/>
      <c r="P683" s="132"/>
      <c r="Q683" s="132"/>
      <c r="R683" s="132"/>
      <c r="S683" s="132"/>
      <c r="T683" s="132"/>
      <c r="U683" s="132"/>
      <c r="V683" s="132"/>
      <c r="W683" s="132"/>
      <c r="X683" s="132"/>
      <c r="Y683" s="132"/>
      <c r="Z683" s="132"/>
      <c r="AA683" s="132"/>
      <c r="AB683" s="132"/>
      <c r="AC683" s="132"/>
      <c r="AD683" s="132"/>
      <c r="AE683" s="132"/>
      <c r="AF683" s="132"/>
      <c r="AG683" s="132"/>
      <c r="AH683" s="132"/>
      <c r="AI683" s="132"/>
      <c r="AJ683" s="132"/>
      <c r="AK683" s="132"/>
      <c r="AL683" s="132"/>
      <c r="AM683" s="132"/>
      <c r="AN683" s="132"/>
      <c r="AO683" s="132"/>
      <c r="AP683" s="132"/>
      <c r="AQ683" s="141"/>
      <c r="AR683" s="132"/>
      <c r="AS683" s="132"/>
      <c r="AT683" s="47"/>
      <c r="AU683" s="7"/>
      <c r="AV683" s="134"/>
      <c r="AW683" s="132"/>
      <c r="AX683" s="132"/>
      <c r="AY683" s="132"/>
      <c r="AZ683" s="132"/>
      <c r="BA683" s="10"/>
      <c r="BB683" s="134"/>
      <c r="BC683" s="132"/>
      <c r="BD683" s="132"/>
      <c r="BE683" s="132"/>
      <c r="BF683" s="132"/>
      <c r="BG683" s="11"/>
      <c r="BH683" s="134"/>
      <c r="BI683" s="132"/>
      <c r="BJ683" s="132"/>
      <c r="BK683" s="132"/>
      <c r="BL683" s="132"/>
    </row>
    <row r="684" customFormat="false" ht="13.8" hidden="false" customHeight="false" outlineLevel="0" collapsed="false">
      <c r="A684" s="140"/>
      <c r="B684" s="140"/>
      <c r="C684" s="168"/>
      <c r="D684" s="132"/>
      <c r="E684" s="132"/>
      <c r="F684" s="132"/>
      <c r="G684" s="132"/>
      <c r="H684" s="132"/>
      <c r="I684" s="132"/>
      <c r="J684" s="132"/>
      <c r="K684" s="132"/>
      <c r="L684" s="132"/>
      <c r="M684" s="132"/>
      <c r="N684" s="140"/>
      <c r="O684" s="132"/>
      <c r="P684" s="132"/>
      <c r="Q684" s="132"/>
      <c r="R684" s="132"/>
      <c r="S684" s="132"/>
      <c r="T684" s="132"/>
      <c r="U684" s="132"/>
      <c r="V684" s="132"/>
      <c r="W684" s="132"/>
      <c r="X684" s="132"/>
      <c r="Y684" s="132"/>
      <c r="Z684" s="132"/>
      <c r="AA684" s="132"/>
      <c r="AB684" s="132"/>
      <c r="AC684" s="132"/>
      <c r="AD684" s="132"/>
      <c r="AE684" s="132"/>
      <c r="AF684" s="132"/>
      <c r="AG684" s="132"/>
      <c r="AH684" s="132"/>
      <c r="AI684" s="132"/>
      <c r="AJ684" s="132"/>
      <c r="AK684" s="132"/>
      <c r="AL684" s="132"/>
      <c r="AM684" s="132"/>
      <c r="AN684" s="132"/>
      <c r="AO684" s="132"/>
      <c r="AP684" s="132"/>
      <c r="AQ684" s="141"/>
      <c r="AR684" s="132"/>
      <c r="AS684" s="132"/>
      <c r="AT684" s="47"/>
      <c r="AU684" s="7"/>
      <c r="AV684" s="134"/>
      <c r="AW684" s="132"/>
      <c r="AX684" s="132"/>
      <c r="AY684" s="132"/>
      <c r="AZ684" s="132"/>
      <c r="BA684" s="10"/>
      <c r="BB684" s="134"/>
      <c r="BC684" s="132"/>
      <c r="BD684" s="132"/>
      <c r="BE684" s="132"/>
      <c r="BF684" s="132"/>
      <c r="BG684" s="11"/>
      <c r="BH684" s="134"/>
      <c r="BI684" s="132"/>
      <c r="BJ684" s="132"/>
      <c r="BK684" s="132"/>
      <c r="BL684" s="132"/>
    </row>
    <row r="685" customFormat="false" ht="13.8" hidden="false" customHeight="false" outlineLevel="0" collapsed="false">
      <c r="A685" s="140"/>
      <c r="B685" s="140"/>
      <c r="C685" s="168"/>
      <c r="D685" s="132"/>
      <c r="E685" s="132"/>
      <c r="F685" s="132"/>
      <c r="G685" s="132"/>
      <c r="H685" s="132"/>
      <c r="I685" s="132"/>
      <c r="J685" s="132"/>
      <c r="K685" s="132"/>
      <c r="L685" s="132"/>
      <c r="M685" s="132"/>
      <c r="N685" s="140"/>
      <c r="O685" s="132"/>
      <c r="P685" s="132"/>
      <c r="Q685" s="132"/>
      <c r="R685" s="132"/>
      <c r="S685" s="132"/>
      <c r="T685" s="132"/>
      <c r="U685" s="132"/>
      <c r="V685" s="132"/>
      <c r="W685" s="132"/>
      <c r="X685" s="132"/>
      <c r="Y685" s="132"/>
      <c r="Z685" s="132"/>
      <c r="AA685" s="132"/>
      <c r="AB685" s="132"/>
      <c r="AC685" s="132"/>
      <c r="AD685" s="132"/>
      <c r="AE685" s="132"/>
      <c r="AF685" s="132"/>
      <c r="AG685" s="132"/>
      <c r="AH685" s="132"/>
      <c r="AI685" s="132"/>
      <c r="AJ685" s="132"/>
      <c r="AK685" s="132"/>
      <c r="AL685" s="132"/>
      <c r="AM685" s="132"/>
      <c r="AN685" s="132"/>
      <c r="AO685" s="132"/>
      <c r="AP685" s="132"/>
      <c r="AQ685" s="141"/>
      <c r="AR685" s="132"/>
      <c r="AS685" s="132"/>
      <c r="AT685" s="47"/>
      <c r="AU685" s="7"/>
      <c r="AV685" s="134"/>
      <c r="AW685" s="132"/>
      <c r="AX685" s="132"/>
      <c r="AY685" s="132"/>
      <c r="AZ685" s="132"/>
      <c r="BA685" s="10"/>
      <c r="BB685" s="134"/>
      <c r="BC685" s="132"/>
      <c r="BD685" s="132"/>
      <c r="BE685" s="132"/>
      <c r="BF685" s="132"/>
      <c r="BG685" s="11"/>
      <c r="BH685" s="134"/>
      <c r="BI685" s="132"/>
      <c r="BJ685" s="132"/>
      <c r="BK685" s="132"/>
      <c r="BL685" s="132"/>
    </row>
    <row r="686" customFormat="false" ht="13.8" hidden="false" customHeight="false" outlineLevel="0" collapsed="false">
      <c r="A686" s="140"/>
      <c r="B686" s="140"/>
      <c r="C686" s="168"/>
      <c r="D686" s="132"/>
      <c r="E686" s="132"/>
      <c r="F686" s="132"/>
      <c r="G686" s="132"/>
      <c r="H686" s="132"/>
      <c r="I686" s="132"/>
      <c r="J686" s="132"/>
      <c r="K686" s="132"/>
      <c r="L686" s="132"/>
      <c r="M686" s="132"/>
      <c r="N686" s="140"/>
      <c r="O686" s="132"/>
      <c r="P686" s="132"/>
      <c r="Q686" s="132"/>
      <c r="R686" s="132"/>
      <c r="S686" s="132"/>
      <c r="T686" s="132"/>
      <c r="U686" s="132"/>
      <c r="V686" s="132"/>
      <c r="W686" s="132"/>
      <c r="X686" s="132"/>
      <c r="Y686" s="132"/>
      <c r="Z686" s="132"/>
      <c r="AA686" s="132"/>
      <c r="AB686" s="132"/>
      <c r="AC686" s="132"/>
      <c r="AD686" s="132"/>
      <c r="AE686" s="132"/>
      <c r="AF686" s="132"/>
      <c r="AG686" s="132"/>
      <c r="AH686" s="132"/>
      <c r="AI686" s="132"/>
      <c r="AJ686" s="132"/>
      <c r="AK686" s="132"/>
      <c r="AL686" s="132"/>
      <c r="AM686" s="132"/>
      <c r="AN686" s="132"/>
      <c r="AO686" s="132"/>
      <c r="AP686" s="132"/>
      <c r="AQ686" s="141"/>
      <c r="AR686" s="132"/>
      <c r="AS686" s="132"/>
      <c r="AT686" s="47"/>
      <c r="AU686" s="7"/>
      <c r="AV686" s="134"/>
      <c r="AW686" s="132"/>
      <c r="AX686" s="132"/>
      <c r="AY686" s="132"/>
      <c r="AZ686" s="132"/>
      <c r="BA686" s="10"/>
      <c r="BB686" s="134"/>
      <c r="BC686" s="132"/>
      <c r="BD686" s="132"/>
      <c r="BE686" s="132"/>
      <c r="BF686" s="132"/>
      <c r="BG686" s="11"/>
      <c r="BH686" s="134"/>
      <c r="BI686" s="132"/>
      <c r="BJ686" s="132"/>
      <c r="BK686" s="132"/>
      <c r="BL686" s="132"/>
    </row>
    <row r="687" customFormat="false" ht="13.8" hidden="false" customHeight="false" outlineLevel="0" collapsed="false">
      <c r="A687" s="140"/>
      <c r="B687" s="140"/>
      <c r="C687" s="168"/>
      <c r="D687" s="132"/>
      <c r="E687" s="132"/>
      <c r="F687" s="132"/>
      <c r="G687" s="132"/>
      <c r="H687" s="132"/>
      <c r="I687" s="132"/>
      <c r="J687" s="132"/>
      <c r="K687" s="132"/>
      <c r="L687" s="132"/>
      <c r="M687" s="132"/>
      <c r="N687" s="140"/>
      <c r="O687" s="132"/>
      <c r="P687" s="132"/>
      <c r="Q687" s="132"/>
      <c r="R687" s="132"/>
      <c r="S687" s="132"/>
      <c r="T687" s="132"/>
      <c r="U687" s="132"/>
      <c r="V687" s="132"/>
      <c r="W687" s="132"/>
      <c r="X687" s="132"/>
      <c r="Y687" s="132"/>
      <c r="Z687" s="132"/>
      <c r="AA687" s="132"/>
      <c r="AB687" s="132"/>
      <c r="AC687" s="132"/>
      <c r="AD687" s="132"/>
      <c r="AE687" s="132"/>
      <c r="AF687" s="132"/>
      <c r="AG687" s="132"/>
      <c r="AH687" s="132"/>
      <c r="AI687" s="132"/>
      <c r="AJ687" s="132"/>
      <c r="AK687" s="132"/>
      <c r="AL687" s="132"/>
      <c r="AM687" s="132"/>
      <c r="AN687" s="132"/>
      <c r="AO687" s="132"/>
      <c r="AP687" s="132"/>
      <c r="AQ687" s="141"/>
      <c r="AR687" s="132"/>
      <c r="AS687" s="132"/>
      <c r="AT687" s="47"/>
      <c r="AU687" s="7"/>
      <c r="AV687" s="134"/>
      <c r="AW687" s="132"/>
      <c r="AX687" s="132"/>
      <c r="AY687" s="132"/>
      <c r="AZ687" s="132"/>
      <c r="BA687" s="10"/>
      <c r="BB687" s="134"/>
      <c r="BC687" s="132"/>
      <c r="BD687" s="132"/>
      <c r="BE687" s="132"/>
      <c r="BF687" s="132"/>
      <c r="BG687" s="11"/>
      <c r="BH687" s="134"/>
      <c r="BI687" s="132"/>
      <c r="BJ687" s="132"/>
      <c r="BK687" s="132"/>
      <c r="BL687" s="132"/>
    </row>
    <row r="688" customFormat="false" ht="13.8" hidden="false" customHeight="false" outlineLevel="0" collapsed="false">
      <c r="A688" s="140"/>
      <c r="B688" s="140"/>
      <c r="C688" s="168"/>
      <c r="D688" s="132"/>
      <c r="E688" s="132"/>
      <c r="F688" s="132"/>
      <c r="G688" s="132"/>
      <c r="H688" s="132"/>
      <c r="I688" s="132"/>
      <c r="J688" s="132"/>
      <c r="K688" s="132"/>
      <c r="L688" s="132"/>
      <c r="M688" s="132"/>
      <c r="N688" s="140"/>
      <c r="O688" s="132"/>
      <c r="P688" s="132"/>
      <c r="Q688" s="132"/>
      <c r="R688" s="132"/>
      <c r="S688" s="132"/>
      <c r="T688" s="132"/>
      <c r="U688" s="132"/>
      <c r="V688" s="132"/>
      <c r="W688" s="132"/>
      <c r="X688" s="132"/>
      <c r="Y688" s="132"/>
      <c r="Z688" s="132"/>
      <c r="AA688" s="132"/>
      <c r="AB688" s="132"/>
      <c r="AC688" s="132"/>
      <c r="AD688" s="132"/>
      <c r="AE688" s="132"/>
      <c r="AF688" s="132"/>
      <c r="AG688" s="132"/>
      <c r="AH688" s="132"/>
      <c r="AI688" s="132"/>
      <c r="AJ688" s="132"/>
      <c r="AK688" s="132"/>
      <c r="AL688" s="132"/>
      <c r="AM688" s="132"/>
      <c r="AN688" s="132"/>
      <c r="AO688" s="132"/>
      <c r="AP688" s="132"/>
      <c r="AQ688" s="141"/>
      <c r="AR688" s="132"/>
      <c r="AS688" s="132"/>
      <c r="AT688" s="47"/>
      <c r="AU688" s="7"/>
      <c r="AV688" s="134"/>
      <c r="AW688" s="132"/>
      <c r="AX688" s="132"/>
      <c r="AY688" s="132"/>
      <c r="AZ688" s="132"/>
      <c r="BA688" s="10"/>
      <c r="BB688" s="134"/>
      <c r="BC688" s="132"/>
      <c r="BD688" s="132"/>
      <c r="BE688" s="132"/>
      <c r="BF688" s="132"/>
      <c r="BG688" s="11"/>
      <c r="BH688" s="134"/>
      <c r="BI688" s="132"/>
      <c r="BJ688" s="132"/>
      <c r="BK688" s="132"/>
      <c r="BL688" s="132"/>
    </row>
    <row r="689" customFormat="false" ht="13.8" hidden="false" customHeight="false" outlineLevel="0" collapsed="false">
      <c r="A689" s="140"/>
      <c r="B689" s="140"/>
      <c r="C689" s="168"/>
      <c r="D689" s="132"/>
      <c r="E689" s="132"/>
      <c r="F689" s="132"/>
      <c r="G689" s="132"/>
      <c r="H689" s="132"/>
      <c r="I689" s="132"/>
      <c r="J689" s="132"/>
      <c r="K689" s="132"/>
      <c r="L689" s="132"/>
      <c r="M689" s="132"/>
      <c r="N689" s="140"/>
      <c r="O689" s="132"/>
      <c r="P689" s="132"/>
      <c r="Q689" s="132"/>
      <c r="R689" s="132"/>
      <c r="S689" s="132"/>
      <c r="T689" s="132"/>
      <c r="U689" s="132"/>
      <c r="V689" s="132"/>
      <c r="W689" s="132"/>
      <c r="X689" s="132"/>
      <c r="Y689" s="132"/>
      <c r="Z689" s="132"/>
      <c r="AA689" s="132"/>
      <c r="AB689" s="132"/>
      <c r="AC689" s="132"/>
      <c r="AD689" s="132"/>
      <c r="AE689" s="132"/>
      <c r="AF689" s="132"/>
      <c r="AG689" s="132"/>
      <c r="AH689" s="132"/>
      <c r="AI689" s="132"/>
      <c r="AJ689" s="132"/>
      <c r="AK689" s="132"/>
      <c r="AL689" s="132"/>
      <c r="AM689" s="132"/>
      <c r="AN689" s="132"/>
      <c r="AO689" s="132"/>
      <c r="AP689" s="132"/>
      <c r="AQ689" s="141"/>
      <c r="AR689" s="132"/>
      <c r="AS689" s="132"/>
      <c r="AT689" s="47"/>
      <c r="AU689" s="7"/>
      <c r="AV689" s="134"/>
      <c r="AW689" s="132"/>
      <c r="AX689" s="132"/>
      <c r="AY689" s="132"/>
      <c r="AZ689" s="132"/>
      <c r="BA689" s="10"/>
      <c r="BB689" s="134"/>
      <c r="BC689" s="132"/>
      <c r="BD689" s="132"/>
      <c r="BE689" s="132"/>
      <c r="BF689" s="132"/>
      <c r="BG689" s="11"/>
      <c r="BH689" s="134"/>
      <c r="BI689" s="132"/>
      <c r="BJ689" s="132"/>
      <c r="BK689" s="132"/>
      <c r="BL689" s="132"/>
    </row>
    <row r="690" customFormat="false" ht="13.8" hidden="false" customHeight="false" outlineLevel="0" collapsed="false">
      <c r="A690" s="140"/>
      <c r="B690" s="140"/>
      <c r="C690" s="168"/>
      <c r="D690" s="132"/>
      <c r="E690" s="132"/>
      <c r="F690" s="132"/>
      <c r="G690" s="132"/>
      <c r="H690" s="132"/>
      <c r="I690" s="132"/>
      <c r="J690" s="132"/>
      <c r="K690" s="132"/>
      <c r="L690" s="132"/>
      <c r="M690" s="132"/>
      <c r="N690" s="140"/>
      <c r="O690" s="132"/>
      <c r="P690" s="132"/>
      <c r="Q690" s="132"/>
      <c r="R690" s="132"/>
      <c r="S690" s="132"/>
      <c r="T690" s="132"/>
      <c r="U690" s="132"/>
      <c r="V690" s="132"/>
      <c r="W690" s="132"/>
      <c r="X690" s="132"/>
      <c r="Y690" s="132"/>
      <c r="Z690" s="132"/>
      <c r="AA690" s="132"/>
      <c r="AB690" s="132"/>
      <c r="AC690" s="132"/>
      <c r="AD690" s="132"/>
      <c r="AE690" s="132"/>
      <c r="AF690" s="132"/>
      <c r="AG690" s="132"/>
      <c r="AH690" s="132"/>
      <c r="AI690" s="132"/>
      <c r="AJ690" s="132"/>
      <c r="AK690" s="132"/>
      <c r="AL690" s="132"/>
      <c r="AM690" s="132"/>
      <c r="AN690" s="132"/>
      <c r="AO690" s="132"/>
      <c r="AP690" s="132"/>
      <c r="AQ690" s="141"/>
      <c r="AR690" s="132"/>
      <c r="AS690" s="132"/>
      <c r="AT690" s="47"/>
      <c r="AU690" s="7"/>
      <c r="AV690" s="134"/>
      <c r="AW690" s="132"/>
      <c r="AX690" s="132"/>
      <c r="AY690" s="132"/>
      <c r="AZ690" s="132"/>
      <c r="BA690" s="10"/>
      <c r="BB690" s="134"/>
      <c r="BC690" s="132"/>
      <c r="BD690" s="132"/>
      <c r="BE690" s="132"/>
      <c r="BF690" s="132"/>
      <c r="BG690" s="11"/>
      <c r="BH690" s="134"/>
      <c r="BI690" s="132"/>
      <c r="BJ690" s="132"/>
      <c r="BK690" s="132"/>
      <c r="BL690" s="132"/>
    </row>
    <row r="691" customFormat="false" ht="13.8" hidden="false" customHeight="false" outlineLevel="0" collapsed="false">
      <c r="A691" s="140"/>
      <c r="B691" s="140"/>
      <c r="C691" s="168"/>
      <c r="D691" s="132"/>
      <c r="E691" s="132"/>
      <c r="F691" s="132"/>
      <c r="G691" s="132"/>
      <c r="H691" s="132"/>
      <c r="I691" s="132"/>
      <c r="J691" s="132"/>
      <c r="K691" s="132"/>
      <c r="L691" s="132"/>
      <c r="M691" s="132"/>
      <c r="N691" s="140"/>
      <c r="O691" s="132"/>
      <c r="P691" s="132"/>
      <c r="Q691" s="132"/>
      <c r="R691" s="132"/>
      <c r="S691" s="132"/>
      <c r="T691" s="132"/>
      <c r="U691" s="132"/>
      <c r="V691" s="132"/>
      <c r="W691" s="132"/>
      <c r="X691" s="132"/>
      <c r="Y691" s="132"/>
      <c r="Z691" s="132"/>
      <c r="AA691" s="132"/>
      <c r="AB691" s="132"/>
      <c r="AC691" s="132"/>
      <c r="AD691" s="132"/>
      <c r="AE691" s="132"/>
      <c r="AF691" s="132"/>
      <c r="AG691" s="132"/>
      <c r="AH691" s="132"/>
      <c r="AI691" s="132"/>
      <c r="AJ691" s="132"/>
      <c r="AK691" s="132"/>
      <c r="AL691" s="132"/>
      <c r="AM691" s="132"/>
      <c r="AN691" s="132"/>
      <c r="AO691" s="132"/>
      <c r="AP691" s="132"/>
      <c r="AQ691" s="141"/>
      <c r="AR691" s="132"/>
      <c r="AS691" s="132"/>
      <c r="AT691" s="47"/>
      <c r="AU691" s="7"/>
      <c r="AV691" s="134"/>
      <c r="AW691" s="132"/>
      <c r="AX691" s="132"/>
      <c r="AY691" s="132"/>
      <c r="AZ691" s="132"/>
      <c r="BA691" s="10"/>
      <c r="BB691" s="134"/>
      <c r="BC691" s="132"/>
      <c r="BD691" s="132"/>
      <c r="BE691" s="132"/>
      <c r="BF691" s="132"/>
      <c r="BG691" s="11"/>
      <c r="BH691" s="134"/>
      <c r="BI691" s="132"/>
      <c r="BJ691" s="132"/>
      <c r="BK691" s="132"/>
      <c r="BL691" s="132"/>
    </row>
    <row r="692" customFormat="false" ht="13.8" hidden="false" customHeight="false" outlineLevel="0" collapsed="false">
      <c r="A692" s="140"/>
      <c r="B692" s="140"/>
      <c r="C692" s="168"/>
      <c r="D692" s="132"/>
      <c r="E692" s="132"/>
      <c r="F692" s="132"/>
      <c r="G692" s="132"/>
      <c r="H692" s="132"/>
      <c r="I692" s="132"/>
      <c r="J692" s="132"/>
      <c r="K692" s="132"/>
      <c r="L692" s="132"/>
      <c r="M692" s="132"/>
      <c r="N692" s="140"/>
      <c r="O692" s="132"/>
      <c r="P692" s="132"/>
      <c r="Q692" s="132"/>
      <c r="R692" s="132"/>
      <c r="S692" s="132"/>
      <c r="T692" s="132"/>
      <c r="U692" s="132"/>
      <c r="V692" s="132"/>
      <c r="W692" s="132"/>
      <c r="X692" s="132"/>
      <c r="Y692" s="132"/>
      <c r="Z692" s="132"/>
      <c r="AA692" s="132"/>
      <c r="AB692" s="132"/>
      <c r="AC692" s="132"/>
      <c r="AD692" s="132"/>
      <c r="AE692" s="132"/>
      <c r="AF692" s="132"/>
      <c r="AG692" s="132"/>
      <c r="AH692" s="132"/>
      <c r="AI692" s="132"/>
      <c r="AJ692" s="132"/>
      <c r="AK692" s="132"/>
      <c r="AL692" s="132"/>
      <c r="AM692" s="132"/>
      <c r="AN692" s="132"/>
      <c r="AO692" s="132"/>
      <c r="AP692" s="132"/>
      <c r="AQ692" s="141"/>
      <c r="AR692" s="132"/>
      <c r="AS692" s="132"/>
      <c r="AT692" s="47"/>
      <c r="AU692" s="7"/>
      <c r="AV692" s="134"/>
      <c r="AW692" s="132"/>
      <c r="AX692" s="132"/>
      <c r="AY692" s="132"/>
      <c r="AZ692" s="132"/>
      <c r="BA692" s="10"/>
      <c r="BB692" s="134"/>
      <c r="BC692" s="132"/>
      <c r="BD692" s="132"/>
      <c r="BE692" s="132"/>
      <c r="BF692" s="132"/>
      <c r="BG692" s="11"/>
      <c r="BH692" s="134"/>
      <c r="BI692" s="132"/>
      <c r="BJ692" s="132"/>
      <c r="BK692" s="132"/>
      <c r="BL692" s="132"/>
    </row>
    <row r="693" customFormat="false" ht="13.8" hidden="false" customHeight="false" outlineLevel="0" collapsed="false">
      <c r="A693" s="140"/>
      <c r="B693" s="140"/>
      <c r="C693" s="168"/>
      <c r="D693" s="132"/>
      <c r="E693" s="132"/>
      <c r="F693" s="132"/>
      <c r="G693" s="132"/>
      <c r="H693" s="132"/>
      <c r="I693" s="132"/>
      <c r="J693" s="132"/>
      <c r="K693" s="132"/>
      <c r="L693" s="132"/>
      <c r="M693" s="132"/>
      <c r="N693" s="140"/>
      <c r="O693" s="132"/>
      <c r="P693" s="132"/>
      <c r="Q693" s="132"/>
      <c r="R693" s="132"/>
      <c r="S693" s="132"/>
      <c r="T693" s="132"/>
      <c r="U693" s="132"/>
      <c r="V693" s="132"/>
      <c r="W693" s="132"/>
      <c r="X693" s="132"/>
      <c r="Y693" s="132"/>
      <c r="Z693" s="132"/>
      <c r="AA693" s="132"/>
      <c r="AB693" s="132"/>
      <c r="AC693" s="132"/>
      <c r="AD693" s="132"/>
      <c r="AE693" s="132"/>
      <c r="AF693" s="132"/>
      <c r="AG693" s="132"/>
      <c r="AH693" s="132"/>
      <c r="AI693" s="132"/>
      <c r="AJ693" s="132"/>
      <c r="AK693" s="132"/>
      <c r="AL693" s="132"/>
      <c r="AM693" s="132"/>
      <c r="AN693" s="132"/>
      <c r="AO693" s="132"/>
      <c r="AP693" s="132"/>
      <c r="AQ693" s="141"/>
      <c r="AR693" s="132"/>
      <c r="AS693" s="132"/>
      <c r="AT693" s="47"/>
      <c r="AU693" s="7"/>
      <c r="AV693" s="134"/>
      <c r="AW693" s="132"/>
      <c r="AX693" s="132"/>
      <c r="AY693" s="132"/>
      <c r="AZ693" s="132"/>
      <c r="BA693" s="10"/>
      <c r="BB693" s="134"/>
      <c r="BC693" s="132"/>
      <c r="BD693" s="132"/>
      <c r="BE693" s="132"/>
      <c r="BF693" s="132"/>
      <c r="BG693" s="11"/>
      <c r="BH693" s="134"/>
      <c r="BI693" s="132"/>
      <c r="BJ693" s="132"/>
      <c r="BK693" s="132"/>
      <c r="BL693" s="132"/>
    </row>
    <row r="694" customFormat="false" ht="13.8" hidden="false" customHeight="false" outlineLevel="0" collapsed="false">
      <c r="A694" s="140"/>
      <c r="B694" s="140"/>
      <c r="C694" s="168"/>
      <c r="D694" s="132"/>
      <c r="E694" s="132"/>
      <c r="F694" s="132"/>
      <c r="G694" s="132"/>
      <c r="H694" s="132"/>
      <c r="I694" s="132"/>
      <c r="J694" s="132"/>
      <c r="K694" s="132"/>
      <c r="L694" s="132"/>
      <c r="M694" s="132"/>
      <c r="N694" s="140"/>
      <c r="O694" s="132"/>
      <c r="P694" s="132"/>
      <c r="Q694" s="132"/>
      <c r="R694" s="132"/>
      <c r="S694" s="132"/>
      <c r="T694" s="132"/>
      <c r="U694" s="132"/>
      <c r="V694" s="132"/>
      <c r="W694" s="132"/>
      <c r="X694" s="132"/>
      <c r="Y694" s="132"/>
      <c r="Z694" s="132"/>
      <c r="AA694" s="132"/>
      <c r="AB694" s="132"/>
      <c r="AC694" s="132"/>
      <c r="AD694" s="132"/>
      <c r="AE694" s="132"/>
      <c r="AF694" s="132"/>
      <c r="AG694" s="132"/>
      <c r="AH694" s="132"/>
      <c r="AI694" s="132"/>
      <c r="AJ694" s="132"/>
      <c r="AK694" s="132"/>
      <c r="AL694" s="132"/>
      <c r="AM694" s="132"/>
      <c r="AN694" s="132"/>
      <c r="AO694" s="132"/>
      <c r="AP694" s="132"/>
      <c r="AQ694" s="141"/>
      <c r="AR694" s="132"/>
      <c r="AS694" s="132"/>
      <c r="AT694" s="47"/>
      <c r="AU694" s="7"/>
      <c r="AV694" s="134"/>
      <c r="AW694" s="132"/>
      <c r="AX694" s="132"/>
      <c r="AY694" s="132"/>
      <c r="AZ694" s="132"/>
      <c r="BA694" s="10"/>
      <c r="BB694" s="134"/>
      <c r="BC694" s="132"/>
      <c r="BD694" s="132"/>
      <c r="BE694" s="132"/>
      <c r="BF694" s="132"/>
      <c r="BG694" s="11"/>
      <c r="BH694" s="134"/>
      <c r="BI694" s="132"/>
      <c r="BJ694" s="132"/>
      <c r="BK694" s="132"/>
      <c r="BL694" s="132"/>
    </row>
    <row r="695" customFormat="false" ht="13.8" hidden="false" customHeight="false" outlineLevel="0" collapsed="false">
      <c r="A695" s="140"/>
      <c r="B695" s="140"/>
      <c r="C695" s="168"/>
      <c r="D695" s="132"/>
      <c r="E695" s="132"/>
      <c r="F695" s="132"/>
      <c r="G695" s="132"/>
      <c r="H695" s="132"/>
      <c r="I695" s="132"/>
      <c r="J695" s="132"/>
      <c r="K695" s="132"/>
      <c r="L695" s="132"/>
      <c r="M695" s="132"/>
      <c r="N695" s="140"/>
      <c r="O695" s="132"/>
      <c r="P695" s="132"/>
      <c r="Q695" s="132"/>
      <c r="R695" s="132"/>
      <c r="S695" s="132"/>
      <c r="T695" s="132"/>
      <c r="U695" s="132"/>
      <c r="V695" s="132"/>
      <c r="W695" s="132"/>
      <c r="X695" s="132"/>
      <c r="Y695" s="132"/>
      <c r="Z695" s="132"/>
      <c r="AA695" s="132"/>
      <c r="AB695" s="132"/>
      <c r="AC695" s="132"/>
      <c r="AD695" s="132"/>
      <c r="AE695" s="132"/>
      <c r="AF695" s="132"/>
      <c r="AG695" s="132"/>
      <c r="AH695" s="132"/>
      <c r="AI695" s="132"/>
      <c r="AJ695" s="132"/>
      <c r="AK695" s="132"/>
      <c r="AL695" s="132"/>
      <c r="AM695" s="132"/>
      <c r="AN695" s="132"/>
      <c r="AO695" s="132"/>
      <c r="AP695" s="132"/>
      <c r="AQ695" s="141"/>
      <c r="AR695" s="132"/>
      <c r="AS695" s="132"/>
      <c r="AT695" s="47"/>
      <c r="AU695" s="7"/>
      <c r="AV695" s="134"/>
      <c r="AW695" s="132"/>
      <c r="AX695" s="132"/>
      <c r="AY695" s="132"/>
      <c r="AZ695" s="132"/>
      <c r="BA695" s="10"/>
      <c r="BB695" s="134"/>
      <c r="BC695" s="132"/>
      <c r="BD695" s="132"/>
      <c r="BE695" s="132"/>
      <c r="BF695" s="132"/>
      <c r="BG695" s="11"/>
      <c r="BH695" s="134"/>
      <c r="BI695" s="132"/>
      <c r="BJ695" s="132"/>
      <c r="BK695" s="132"/>
      <c r="BL695" s="132"/>
    </row>
    <row r="696" customFormat="false" ht="13.8" hidden="false" customHeight="false" outlineLevel="0" collapsed="false">
      <c r="A696" s="140"/>
      <c r="B696" s="140"/>
      <c r="C696" s="168"/>
      <c r="D696" s="132"/>
      <c r="E696" s="132"/>
      <c r="F696" s="132"/>
      <c r="G696" s="132"/>
      <c r="H696" s="132"/>
      <c r="I696" s="132"/>
      <c r="J696" s="132"/>
      <c r="K696" s="132"/>
      <c r="L696" s="132"/>
      <c r="M696" s="132"/>
      <c r="N696" s="140"/>
      <c r="O696" s="132"/>
      <c r="P696" s="132"/>
      <c r="Q696" s="132"/>
      <c r="R696" s="132"/>
      <c r="S696" s="132"/>
      <c r="T696" s="132"/>
      <c r="U696" s="132"/>
      <c r="V696" s="132"/>
      <c r="W696" s="132"/>
      <c r="X696" s="132"/>
      <c r="Y696" s="132"/>
      <c r="Z696" s="132"/>
      <c r="AA696" s="132"/>
      <c r="AB696" s="132"/>
      <c r="AC696" s="132"/>
      <c r="AD696" s="132"/>
      <c r="AE696" s="132"/>
      <c r="AF696" s="132"/>
      <c r="AG696" s="132"/>
      <c r="AH696" s="132"/>
      <c r="AI696" s="132"/>
      <c r="AJ696" s="132"/>
      <c r="AK696" s="132"/>
      <c r="AL696" s="132"/>
      <c r="AM696" s="132"/>
      <c r="AN696" s="132"/>
      <c r="AO696" s="132"/>
      <c r="AP696" s="132"/>
      <c r="AQ696" s="141"/>
      <c r="AR696" s="132"/>
      <c r="AS696" s="132"/>
      <c r="AT696" s="47"/>
      <c r="AU696" s="7"/>
      <c r="AV696" s="134"/>
      <c r="AW696" s="132"/>
      <c r="AX696" s="132"/>
      <c r="AY696" s="132"/>
      <c r="AZ696" s="132"/>
      <c r="BA696" s="10"/>
      <c r="BB696" s="134"/>
      <c r="BC696" s="132"/>
      <c r="BD696" s="132"/>
      <c r="BE696" s="132"/>
      <c r="BF696" s="132"/>
      <c r="BG696" s="11"/>
      <c r="BH696" s="134"/>
      <c r="BI696" s="132"/>
      <c r="BJ696" s="132"/>
      <c r="BK696" s="132"/>
      <c r="BL696" s="132"/>
    </row>
    <row r="697" customFormat="false" ht="13.8" hidden="false" customHeight="false" outlineLevel="0" collapsed="false">
      <c r="A697" s="140"/>
      <c r="B697" s="140"/>
      <c r="C697" s="168"/>
      <c r="D697" s="132"/>
      <c r="E697" s="132"/>
      <c r="F697" s="132"/>
      <c r="G697" s="132"/>
      <c r="H697" s="132"/>
      <c r="I697" s="132"/>
      <c r="J697" s="132"/>
      <c r="K697" s="132"/>
      <c r="L697" s="132"/>
      <c r="M697" s="132"/>
      <c r="N697" s="140"/>
      <c r="O697" s="132"/>
      <c r="P697" s="132"/>
      <c r="Q697" s="132"/>
      <c r="R697" s="132"/>
      <c r="S697" s="132"/>
      <c r="T697" s="132"/>
      <c r="U697" s="132"/>
      <c r="V697" s="132"/>
      <c r="W697" s="132"/>
      <c r="X697" s="132"/>
      <c r="Y697" s="132"/>
      <c r="Z697" s="132"/>
      <c r="AA697" s="132"/>
      <c r="AB697" s="132"/>
      <c r="AC697" s="132"/>
      <c r="AD697" s="132"/>
      <c r="AE697" s="132"/>
      <c r="AF697" s="132"/>
      <c r="AG697" s="132"/>
      <c r="AH697" s="132"/>
      <c r="AI697" s="132"/>
      <c r="AJ697" s="132"/>
      <c r="AK697" s="132"/>
      <c r="AL697" s="132"/>
      <c r="AM697" s="132"/>
      <c r="AN697" s="132"/>
      <c r="AO697" s="132"/>
      <c r="AP697" s="132"/>
      <c r="AQ697" s="141"/>
      <c r="AR697" s="132"/>
      <c r="AS697" s="132"/>
      <c r="AT697" s="47"/>
      <c r="AU697" s="7"/>
      <c r="AV697" s="134"/>
      <c r="AW697" s="132"/>
      <c r="AX697" s="132"/>
      <c r="AY697" s="132"/>
      <c r="AZ697" s="132"/>
      <c r="BA697" s="10"/>
      <c r="BB697" s="134"/>
      <c r="BC697" s="132"/>
      <c r="BD697" s="132"/>
      <c r="BE697" s="132"/>
      <c r="BF697" s="132"/>
      <c r="BG697" s="11"/>
      <c r="BH697" s="134"/>
      <c r="BI697" s="132"/>
      <c r="BJ697" s="132"/>
      <c r="BK697" s="132"/>
      <c r="BL697" s="132"/>
    </row>
    <row r="698" customFormat="false" ht="13.8" hidden="false" customHeight="false" outlineLevel="0" collapsed="false">
      <c r="A698" s="140"/>
      <c r="B698" s="140"/>
      <c r="C698" s="168"/>
      <c r="D698" s="132"/>
      <c r="E698" s="132"/>
      <c r="F698" s="132"/>
      <c r="G698" s="132"/>
      <c r="H698" s="132"/>
      <c r="I698" s="132"/>
      <c r="J698" s="132"/>
      <c r="K698" s="132"/>
      <c r="L698" s="132"/>
      <c r="M698" s="132"/>
      <c r="N698" s="140"/>
      <c r="O698" s="132"/>
      <c r="P698" s="132"/>
      <c r="Q698" s="132"/>
      <c r="R698" s="132"/>
      <c r="S698" s="132"/>
      <c r="T698" s="132"/>
      <c r="U698" s="132"/>
      <c r="V698" s="132"/>
      <c r="W698" s="132"/>
      <c r="X698" s="132"/>
      <c r="Y698" s="132"/>
      <c r="Z698" s="132"/>
      <c r="AA698" s="132"/>
      <c r="AB698" s="132"/>
      <c r="AC698" s="132"/>
      <c r="AD698" s="132"/>
      <c r="AE698" s="132"/>
      <c r="AF698" s="132"/>
      <c r="AG698" s="132"/>
      <c r="AH698" s="132"/>
      <c r="AI698" s="132"/>
      <c r="AJ698" s="132"/>
      <c r="AK698" s="132"/>
      <c r="AL698" s="132"/>
      <c r="AM698" s="132"/>
      <c r="AN698" s="132"/>
      <c r="AO698" s="132"/>
      <c r="AP698" s="132"/>
      <c r="AQ698" s="141"/>
      <c r="AR698" s="132"/>
      <c r="AS698" s="132"/>
      <c r="AT698" s="47"/>
      <c r="AU698" s="7"/>
      <c r="AV698" s="134"/>
      <c r="AW698" s="132"/>
      <c r="AX698" s="132"/>
      <c r="AY698" s="132"/>
      <c r="AZ698" s="132"/>
      <c r="BA698" s="10"/>
      <c r="BB698" s="134"/>
      <c r="BC698" s="132"/>
      <c r="BD698" s="132"/>
      <c r="BE698" s="132"/>
      <c r="BF698" s="132"/>
      <c r="BG698" s="11"/>
      <c r="BH698" s="134"/>
      <c r="BI698" s="132"/>
      <c r="BJ698" s="132"/>
      <c r="BK698" s="132"/>
      <c r="BL698" s="132"/>
    </row>
    <row r="699" customFormat="false" ht="13.8" hidden="false" customHeight="false" outlineLevel="0" collapsed="false">
      <c r="A699" s="140"/>
      <c r="B699" s="140"/>
      <c r="C699" s="168"/>
      <c r="D699" s="132"/>
      <c r="E699" s="132"/>
      <c r="F699" s="132"/>
      <c r="G699" s="132"/>
      <c r="H699" s="132"/>
      <c r="I699" s="132"/>
      <c r="J699" s="132"/>
      <c r="K699" s="132"/>
      <c r="L699" s="132"/>
      <c r="M699" s="132"/>
      <c r="N699" s="140"/>
      <c r="O699" s="132"/>
      <c r="P699" s="132"/>
      <c r="Q699" s="132"/>
      <c r="R699" s="132"/>
      <c r="S699" s="132"/>
      <c r="T699" s="132"/>
      <c r="U699" s="132"/>
      <c r="V699" s="132"/>
      <c r="W699" s="132"/>
      <c r="X699" s="132"/>
      <c r="Y699" s="132"/>
      <c r="Z699" s="132"/>
      <c r="AA699" s="132"/>
      <c r="AB699" s="132"/>
      <c r="AC699" s="132"/>
      <c r="AD699" s="132"/>
      <c r="AE699" s="132"/>
      <c r="AF699" s="132"/>
      <c r="AG699" s="132"/>
      <c r="AH699" s="132"/>
      <c r="AI699" s="132"/>
      <c r="AJ699" s="132"/>
      <c r="AK699" s="132"/>
      <c r="AL699" s="132"/>
      <c r="AM699" s="132"/>
      <c r="AN699" s="132"/>
      <c r="AO699" s="132"/>
      <c r="AP699" s="132"/>
      <c r="AQ699" s="141"/>
      <c r="AR699" s="132"/>
      <c r="AS699" s="132"/>
      <c r="AT699" s="47"/>
      <c r="AU699" s="7"/>
      <c r="AV699" s="134"/>
      <c r="AW699" s="132"/>
      <c r="AX699" s="132"/>
      <c r="AY699" s="132"/>
      <c r="AZ699" s="132"/>
      <c r="BA699" s="10"/>
      <c r="BB699" s="134"/>
      <c r="BC699" s="132"/>
      <c r="BD699" s="132"/>
      <c r="BE699" s="132"/>
      <c r="BF699" s="132"/>
      <c r="BG699" s="11"/>
      <c r="BH699" s="134"/>
      <c r="BI699" s="132"/>
      <c r="BJ699" s="132"/>
      <c r="BK699" s="132"/>
      <c r="BL699" s="132"/>
    </row>
    <row r="700" customFormat="false" ht="13.8" hidden="false" customHeight="false" outlineLevel="0" collapsed="false">
      <c r="A700" s="140"/>
      <c r="B700" s="140"/>
      <c r="C700" s="168"/>
      <c r="D700" s="132"/>
      <c r="E700" s="132"/>
      <c r="F700" s="132"/>
      <c r="G700" s="132"/>
      <c r="H700" s="132"/>
      <c r="I700" s="132"/>
      <c r="J700" s="132"/>
      <c r="K700" s="132"/>
      <c r="L700" s="132"/>
      <c r="M700" s="132"/>
      <c r="N700" s="140"/>
      <c r="O700" s="132"/>
      <c r="P700" s="132"/>
      <c r="Q700" s="132"/>
      <c r="R700" s="132"/>
      <c r="S700" s="132"/>
      <c r="T700" s="132"/>
      <c r="U700" s="132"/>
      <c r="V700" s="132"/>
      <c r="W700" s="132"/>
      <c r="X700" s="132"/>
      <c r="Y700" s="132"/>
      <c r="Z700" s="132"/>
      <c r="AA700" s="132"/>
      <c r="AB700" s="132"/>
      <c r="AC700" s="132"/>
      <c r="AD700" s="132"/>
      <c r="AE700" s="132"/>
      <c r="AF700" s="132"/>
      <c r="AG700" s="132"/>
      <c r="AH700" s="132"/>
      <c r="AI700" s="132"/>
      <c r="AJ700" s="132"/>
      <c r="AK700" s="132"/>
      <c r="AL700" s="132"/>
      <c r="AM700" s="132"/>
      <c r="AN700" s="132"/>
      <c r="AO700" s="132"/>
      <c r="AP700" s="132"/>
      <c r="AQ700" s="141"/>
      <c r="AR700" s="132"/>
      <c r="AS700" s="132"/>
      <c r="AT700" s="47"/>
      <c r="AU700" s="7"/>
      <c r="AV700" s="134"/>
      <c r="AW700" s="132"/>
      <c r="AX700" s="132"/>
      <c r="AY700" s="132"/>
      <c r="AZ700" s="132"/>
      <c r="BA700" s="10"/>
      <c r="BB700" s="134"/>
      <c r="BC700" s="132"/>
      <c r="BD700" s="132"/>
      <c r="BE700" s="132"/>
      <c r="BF700" s="132"/>
      <c r="BG700" s="11"/>
      <c r="BH700" s="134"/>
      <c r="BI700" s="132"/>
      <c r="BJ700" s="132"/>
      <c r="BK700" s="132"/>
      <c r="BL700" s="132"/>
    </row>
    <row r="701" customFormat="false" ht="13.8" hidden="false" customHeight="false" outlineLevel="0" collapsed="false">
      <c r="A701" s="140"/>
      <c r="B701" s="140"/>
      <c r="C701" s="168"/>
      <c r="D701" s="132"/>
      <c r="E701" s="132"/>
      <c r="F701" s="132"/>
      <c r="G701" s="132"/>
      <c r="H701" s="132"/>
      <c r="I701" s="132"/>
      <c r="J701" s="132"/>
      <c r="K701" s="132"/>
      <c r="L701" s="132"/>
      <c r="M701" s="132"/>
      <c r="N701" s="140"/>
      <c r="O701" s="132"/>
      <c r="P701" s="132"/>
      <c r="Q701" s="132"/>
      <c r="R701" s="132"/>
      <c r="S701" s="132"/>
      <c r="T701" s="132"/>
      <c r="U701" s="132"/>
      <c r="V701" s="132"/>
      <c r="W701" s="132"/>
      <c r="X701" s="132"/>
      <c r="Y701" s="132"/>
      <c r="Z701" s="132"/>
      <c r="AA701" s="132"/>
      <c r="AB701" s="132"/>
      <c r="AC701" s="132"/>
      <c r="AD701" s="132"/>
      <c r="AE701" s="132"/>
      <c r="AF701" s="132"/>
      <c r="AG701" s="132"/>
      <c r="AH701" s="132"/>
      <c r="AI701" s="132"/>
      <c r="AJ701" s="132"/>
      <c r="AK701" s="132"/>
      <c r="AL701" s="132"/>
      <c r="AM701" s="132"/>
      <c r="AN701" s="132"/>
      <c r="AO701" s="132"/>
      <c r="AP701" s="132"/>
      <c r="AQ701" s="141"/>
      <c r="AR701" s="132"/>
      <c r="AS701" s="132"/>
      <c r="AT701" s="47"/>
      <c r="AU701" s="7"/>
      <c r="AV701" s="134"/>
      <c r="AW701" s="132"/>
      <c r="AX701" s="132"/>
      <c r="AY701" s="132"/>
      <c r="AZ701" s="132"/>
      <c r="BA701" s="10"/>
      <c r="BB701" s="134"/>
      <c r="BC701" s="132"/>
      <c r="BD701" s="132"/>
      <c r="BE701" s="132"/>
      <c r="BF701" s="132"/>
      <c r="BG701" s="11"/>
      <c r="BH701" s="134"/>
      <c r="BI701" s="132"/>
      <c r="BJ701" s="132"/>
      <c r="BK701" s="132"/>
      <c r="BL701" s="132"/>
    </row>
    <row r="702" customFormat="false" ht="13.8" hidden="false" customHeight="false" outlineLevel="0" collapsed="false">
      <c r="A702" s="140"/>
      <c r="B702" s="140"/>
      <c r="C702" s="168"/>
      <c r="D702" s="132"/>
      <c r="E702" s="132"/>
      <c r="F702" s="132"/>
      <c r="G702" s="132"/>
      <c r="H702" s="132"/>
      <c r="I702" s="132"/>
      <c r="J702" s="132"/>
      <c r="K702" s="132"/>
      <c r="L702" s="132"/>
      <c r="M702" s="132"/>
      <c r="N702" s="140"/>
      <c r="O702" s="132"/>
      <c r="P702" s="132"/>
      <c r="Q702" s="132"/>
      <c r="R702" s="132"/>
      <c r="S702" s="132"/>
      <c r="T702" s="132"/>
      <c r="U702" s="132"/>
      <c r="V702" s="132"/>
      <c r="W702" s="132"/>
      <c r="X702" s="132"/>
      <c r="Y702" s="132"/>
      <c r="Z702" s="132"/>
      <c r="AA702" s="132"/>
      <c r="AB702" s="132"/>
      <c r="AC702" s="132"/>
      <c r="AD702" s="132"/>
      <c r="AE702" s="132"/>
      <c r="AF702" s="132"/>
      <c r="AG702" s="132"/>
      <c r="AH702" s="132"/>
      <c r="AI702" s="132"/>
      <c r="AJ702" s="132"/>
      <c r="AK702" s="132"/>
      <c r="AL702" s="132"/>
      <c r="AM702" s="132"/>
      <c r="AN702" s="132"/>
      <c r="AO702" s="132"/>
      <c r="AP702" s="132"/>
      <c r="AQ702" s="141"/>
      <c r="AR702" s="132"/>
      <c r="AS702" s="132"/>
      <c r="AT702" s="47"/>
      <c r="AU702" s="7"/>
      <c r="AV702" s="134"/>
      <c r="AW702" s="132"/>
      <c r="AX702" s="132"/>
      <c r="AY702" s="132"/>
      <c r="AZ702" s="132"/>
      <c r="BA702" s="10"/>
      <c r="BB702" s="134"/>
      <c r="BC702" s="132"/>
      <c r="BD702" s="132"/>
      <c r="BE702" s="132"/>
      <c r="BF702" s="132"/>
      <c r="BG702" s="11"/>
      <c r="BH702" s="134"/>
      <c r="BI702" s="132"/>
      <c r="BJ702" s="132"/>
      <c r="BK702" s="132"/>
      <c r="BL702" s="132"/>
    </row>
    <row r="703" customFormat="false" ht="13.8" hidden="false" customHeight="false" outlineLevel="0" collapsed="false">
      <c r="A703" s="140"/>
      <c r="B703" s="140"/>
      <c r="C703" s="168"/>
      <c r="D703" s="132"/>
      <c r="E703" s="132"/>
      <c r="F703" s="132"/>
      <c r="G703" s="132"/>
      <c r="H703" s="132"/>
      <c r="I703" s="132"/>
      <c r="J703" s="132"/>
      <c r="K703" s="132"/>
      <c r="L703" s="132"/>
      <c r="M703" s="132"/>
      <c r="N703" s="140"/>
      <c r="O703" s="132"/>
      <c r="P703" s="132"/>
      <c r="Q703" s="132"/>
      <c r="R703" s="132"/>
      <c r="S703" s="132"/>
      <c r="T703" s="132"/>
      <c r="U703" s="132"/>
      <c r="V703" s="132"/>
      <c r="W703" s="132"/>
      <c r="X703" s="132"/>
      <c r="Y703" s="132"/>
      <c r="Z703" s="132"/>
      <c r="AA703" s="132"/>
      <c r="AB703" s="132"/>
      <c r="AC703" s="132"/>
      <c r="AD703" s="132"/>
      <c r="AE703" s="132"/>
      <c r="AF703" s="132"/>
      <c r="AG703" s="132"/>
      <c r="AH703" s="132"/>
      <c r="AI703" s="132"/>
      <c r="AJ703" s="132"/>
      <c r="AK703" s="132"/>
      <c r="AL703" s="132"/>
      <c r="AM703" s="132"/>
      <c r="AN703" s="132"/>
      <c r="AO703" s="132"/>
      <c r="AP703" s="132"/>
      <c r="AQ703" s="141"/>
      <c r="AR703" s="132"/>
      <c r="AS703" s="132"/>
      <c r="AT703" s="47"/>
      <c r="AU703" s="7"/>
      <c r="AV703" s="134"/>
      <c r="AW703" s="132"/>
      <c r="AX703" s="132"/>
      <c r="AY703" s="132"/>
      <c r="AZ703" s="132"/>
      <c r="BA703" s="10"/>
      <c r="BB703" s="134"/>
      <c r="BC703" s="132"/>
      <c r="BD703" s="132"/>
      <c r="BE703" s="132"/>
      <c r="BF703" s="132"/>
      <c r="BG703" s="11"/>
      <c r="BH703" s="134"/>
      <c r="BI703" s="132"/>
      <c r="BJ703" s="132"/>
      <c r="BK703" s="132"/>
      <c r="BL703" s="132"/>
    </row>
    <row r="704" customFormat="false" ht="13.8" hidden="false" customHeight="false" outlineLevel="0" collapsed="false">
      <c r="A704" s="140"/>
      <c r="B704" s="140"/>
      <c r="C704" s="168"/>
      <c r="D704" s="132"/>
      <c r="E704" s="132"/>
      <c r="F704" s="132"/>
      <c r="G704" s="132"/>
      <c r="H704" s="132"/>
      <c r="I704" s="132"/>
      <c r="J704" s="132"/>
      <c r="K704" s="132"/>
      <c r="L704" s="132"/>
      <c r="M704" s="132"/>
      <c r="N704" s="140"/>
      <c r="O704" s="132"/>
      <c r="P704" s="132"/>
      <c r="Q704" s="132"/>
      <c r="R704" s="132"/>
      <c r="S704" s="132"/>
      <c r="T704" s="132"/>
      <c r="U704" s="132"/>
      <c r="V704" s="132"/>
      <c r="W704" s="132"/>
      <c r="X704" s="132"/>
      <c r="Y704" s="132"/>
      <c r="Z704" s="132"/>
      <c r="AA704" s="132"/>
      <c r="AB704" s="132"/>
      <c r="AC704" s="132"/>
      <c r="AD704" s="132"/>
      <c r="AE704" s="132"/>
      <c r="AF704" s="132"/>
      <c r="AG704" s="132"/>
      <c r="AH704" s="132"/>
      <c r="AI704" s="132"/>
      <c r="AJ704" s="132"/>
      <c r="AK704" s="132"/>
      <c r="AL704" s="132"/>
      <c r="AM704" s="132"/>
      <c r="AN704" s="132"/>
      <c r="AO704" s="132"/>
      <c r="AP704" s="132"/>
      <c r="AQ704" s="141"/>
      <c r="AR704" s="132"/>
      <c r="AS704" s="132"/>
      <c r="AT704" s="47"/>
      <c r="AU704" s="7"/>
      <c r="AV704" s="134"/>
      <c r="AW704" s="132"/>
      <c r="AX704" s="132"/>
      <c r="AY704" s="132"/>
      <c r="AZ704" s="132"/>
      <c r="BA704" s="10"/>
      <c r="BB704" s="134"/>
      <c r="BC704" s="132"/>
      <c r="BD704" s="132"/>
      <c r="BE704" s="132"/>
      <c r="BF704" s="132"/>
      <c r="BG704" s="11"/>
      <c r="BH704" s="134"/>
      <c r="BI704" s="132"/>
      <c r="BJ704" s="132"/>
      <c r="BK704" s="132"/>
      <c r="BL704" s="132"/>
    </row>
    <row r="705" customFormat="false" ht="13.8" hidden="false" customHeight="false" outlineLevel="0" collapsed="false">
      <c r="A705" s="140"/>
      <c r="B705" s="140"/>
      <c r="C705" s="168"/>
      <c r="D705" s="132"/>
      <c r="E705" s="132"/>
      <c r="F705" s="132"/>
      <c r="G705" s="132"/>
      <c r="H705" s="132"/>
      <c r="I705" s="132"/>
      <c r="J705" s="132"/>
      <c r="K705" s="132"/>
      <c r="L705" s="132"/>
      <c r="M705" s="132"/>
      <c r="N705" s="140"/>
      <c r="O705" s="132"/>
      <c r="P705" s="132"/>
      <c r="Q705" s="132"/>
      <c r="R705" s="132"/>
      <c r="S705" s="132"/>
      <c r="T705" s="132"/>
      <c r="U705" s="132"/>
      <c r="V705" s="132"/>
      <c r="W705" s="132"/>
      <c r="X705" s="132"/>
      <c r="Y705" s="132"/>
      <c r="Z705" s="132"/>
      <c r="AA705" s="132"/>
      <c r="AB705" s="132"/>
      <c r="AC705" s="132"/>
      <c r="AD705" s="132"/>
      <c r="AE705" s="132"/>
      <c r="AF705" s="132"/>
      <c r="AG705" s="132"/>
      <c r="AH705" s="132"/>
      <c r="AI705" s="132"/>
      <c r="AJ705" s="132"/>
      <c r="AK705" s="132"/>
      <c r="AL705" s="132"/>
      <c r="AM705" s="132"/>
      <c r="AN705" s="132"/>
      <c r="AO705" s="132"/>
      <c r="AP705" s="132"/>
      <c r="AQ705" s="141"/>
      <c r="AR705" s="132"/>
      <c r="AS705" s="132"/>
      <c r="AT705" s="47"/>
      <c r="AU705" s="7"/>
      <c r="AV705" s="134"/>
      <c r="AW705" s="132"/>
      <c r="AX705" s="132"/>
      <c r="AY705" s="132"/>
      <c r="AZ705" s="132"/>
      <c r="BA705" s="10"/>
      <c r="BB705" s="134"/>
      <c r="BC705" s="132"/>
      <c r="BD705" s="132"/>
      <c r="BE705" s="132"/>
      <c r="BF705" s="132"/>
      <c r="BG705" s="11"/>
      <c r="BH705" s="134"/>
      <c r="BI705" s="132"/>
      <c r="BJ705" s="132"/>
      <c r="BK705" s="132"/>
      <c r="BL705" s="132"/>
    </row>
    <row r="706" customFormat="false" ht="13.8" hidden="false" customHeight="false" outlineLevel="0" collapsed="false">
      <c r="A706" s="140"/>
      <c r="B706" s="140"/>
      <c r="C706" s="168"/>
      <c r="D706" s="132"/>
      <c r="E706" s="132"/>
      <c r="F706" s="132"/>
      <c r="G706" s="132"/>
      <c r="H706" s="132"/>
      <c r="I706" s="132"/>
      <c r="J706" s="132"/>
      <c r="K706" s="132"/>
      <c r="L706" s="132"/>
      <c r="M706" s="132"/>
      <c r="N706" s="140"/>
      <c r="O706" s="132"/>
      <c r="P706" s="132"/>
      <c r="Q706" s="132"/>
      <c r="R706" s="132"/>
      <c r="S706" s="132"/>
      <c r="T706" s="132"/>
      <c r="U706" s="132"/>
      <c r="V706" s="132"/>
      <c r="W706" s="132"/>
      <c r="X706" s="132"/>
      <c r="Y706" s="132"/>
      <c r="Z706" s="132"/>
      <c r="AA706" s="132"/>
      <c r="AB706" s="132"/>
      <c r="AC706" s="132"/>
      <c r="AD706" s="132"/>
      <c r="AE706" s="132"/>
      <c r="AF706" s="132"/>
      <c r="AG706" s="132"/>
      <c r="AH706" s="132"/>
      <c r="AI706" s="132"/>
      <c r="AJ706" s="132"/>
      <c r="AK706" s="132"/>
      <c r="AL706" s="132"/>
      <c r="AM706" s="132"/>
      <c r="AN706" s="132"/>
      <c r="AO706" s="132"/>
      <c r="AP706" s="132"/>
      <c r="AQ706" s="141"/>
      <c r="AR706" s="132"/>
      <c r="AS706" s="132"/>
      <c r="AT706" s="47"/>
      <c r="AU706" s="7"/>
      <c r="AV706" s="134"/>
      <c r="AW706" s="132"/>
      <c r="AX706" s="132"/>
      <c r="AY706" s="132"/>
      <c r="AZ706" s="132"/>
      <c r="BA706" s="10"/>
      <c r="BB706" s="134"/>
      <c r="BC706" s="132"/>
      <c r="BD706" s="132"/>
      <c r="BE706" s="132"/>
      <c r="BF706" s="132"/>
      <c r="BG706" s="11"/>
      <c r="BH706" s="134"/>
      <c r="BI706" s="132"/>
      <c r="BJ706" s="132"/>
      <c r="BK706" s="132"/>
      <c r="BL706" s="132"/>
    </row>
    <row r="707" customFormat="false" ht="13.8" hidden="false" customHeight="false" outlineLevel="0" collapsed="false">
      <c r="A707" s="140"/>
      <c r="B707" s="140"/>
      <c r="C707" s="168"/>
      <c r="D707" s="132"/>
      <c r="E707" s="132"/>
      <c r="F707" s="132"/>
      <c r="G707" s="132"/>
      <c r="H707" s="132"/>
      <c r="I707" s="132"/>
      <c r="J707" s="132"/>
      <c r="K707" s="132"/>
      <c r="L707" s="132"/>
      <c r="M707" s="132"/>
      <c r="N707" s="140"/>
      <c r="O707" s="132"/>
      <c r="P707" s="132"/>
      <c r="Q707" s="132"/>
      <c r="R707" s="132"/>
      <c r="S707" s="132"/>
      <c r="T707" s="132"/>
      <c r="U707" s="132"/>
      <c r="V707" s="132"/>
      <c r="W707" s="132"/>
      <c r="X707" s="132"/>
      <c r="Y707" s="132"/>
      <c r="Z707" s="132"/>
      <c r="AA707" s="132"/>
      <c r="AB707" s="132"/>
      <c r="AC707" s="132"/>
      <c r="AD707" s="132"/>
      <c r="AE707" s="132"/>
      <c r="AF707" s="132"/>
      <c r="AG707" s="132"/>
      <c r="AH707" s="132"/>
      <c r="AI707" s="132"/>
      <c r="AJ707" s="132"/>
      <c r="AK707" s="132"/>
      <c r="AL707" s="132"/>
      <c r="AM707" s="132"/>
      <c r="AN707" s="132"/>
      <c r="AO707" s="132"/>
      <c r="AP707" s="132"/>
      <c r="AQ707" s="141"/>
      <c r="AR707" s="132"/>
      <c r="AS707" s="132"/>
      <c r="AT707" s="47"/>
      <c r="AU707" s="7"/>
      <c r="AV707" s="134"/>
      <c r="AW707" s="132"/>
      <c r="AX707" s="132"/>
      <c r="AY707" s="132"/>
      <c r="AZ707" s="132"/>
      <c r="BA707" s="10"/>
      <c r="BB707" s="134"/>
      <c r="BC707" s="132"/>
      <c r="BD707" s="132"/>
      <c r="BE707" s="132"/>
      <c r="BF707" s="132"/>
      <c r="BG707" s="11"/>
      <c r="BH707" s="134"/>
      <c r="BI707" s="132"/>
      <c r="BJ707" s="132"/>
      <c r="BK707" s="132"/>
      <c r="BL707" s="132"/>
    </row>
    <row r="708" customFormat="false" ht="13.8" hidden="false" customHeight="false" outlineLevel="0" collapsed="false">
      <c r="A708" s="140"/>
      <c r="B708" s="140"/>
      <c r="C708" s="168"/>
      <c r="D708" s="132"/>
      <c r="E708" s="132"/>
      <c r="F708" s="132"/>
      <c r="G708" s="132"/>
      <c r="H708" s="132"/>
      <c r="I708" s="132"/>
      <c r="J708" s="132"/>
      <c r="K708" s="132"/>
      <c r="L708" s="132"/>
      <c r="M708" s="132"/>
      <c r="N708" s="140"/>
      <c r="O708" s="132"/>
      <c r="P708" s="132"/>
      <c r="Q708" s="132"/>
      <c r="R708" s="132"/>
      <c r="S708" s="132"/>
      <c r="T708" s="132"/>
      <c r="U708" s="132"/>
      <c r="V708" s="132"/>
      <c r="W708" s="132"/>
      <c r="X708" s="132"/>
      <c r="Y708" s="132"/>
      <c r="Z708" s="132"/>
      <c r="AA708" s="132"/>
      <c r="AB708" s="132"/>
      <c r="AC708" s="132"/>
      <c r="AD708" s="132"/>
      <c r="AE708" s="132"/>
      <c r="AF708" s="132"/>
      <c r="AG708" s="132"/>
      <c r="AH708" s="132"/>
      <c r="AI708" s="132"/>
      <c r="AJ708" s="132"/>
      <c r="AK708" s="132"/>
      <c r="AL708" s="132"/>
      <c r="AM708" s="132"/>
      <c r="AN708" s="132"/>
      <c r="AO708" s="132"/>
      <c r="AP708" s="132"/>
      <c r="AQ708" s="141"/>
      <c r="AR708" s="132"/>
      <c r="AS708" s="132"/>
      <c r="AT708" s="47"/>
      <c r="AU708" s="7"/>
      <c r="AV708" s="134"/>
      <c r="AW708" s="132"/>
      <c r="AX708" s="132"/>
      <c r="AY708" s="132"/>
      <c r="AZ708" s="132"/>
      <c r="BA708" s="10"/>
      <c r="BB708" s="134"/>
      <c r="BC708" s="132"/>
      <c r="BD708" s="132"/>
      <c r="BE708" s="132"/>
      <c r="BF708" s="132"/>
      <c r="BG708" s="11"/>
      <c r="BH708" s="134"/>
      <c r="BI708" s="132"/>
      <c r="BJ708" s="132"/>
      <c r="BK708" s="132"/>
      <c r="BL708" s="132"/>
    </row>
    <row r="709" customFormat="false" ht="13.8" hidden="false" customHeight="false" outlineLevel="0" collapsed="false">
      <c r="A709" s="140"/>
      <c r="B709" s="140"/>
      <c r="C709" s="168"/>
      <c r="D709" s="132"/>
      <c r="E709" s="132"/>
      <c r="F709" s="132"/>
      <c r="G709" s="132"/>
      <c r="H709" s="132"/>
      <c r="I709" s="132"/>
      <c r="J709" s="132"/>
      <c r="K709" s="132"/>
      <c r="L709" s="132"/>
      <c r="M709" s="132"/>
      <c r="N709" s="140"/>
      <c r="O709" s="132"/>
      <c r="P709" s="132"/>
      <c r="Q709" s="132"/>
      <c r="R709" s="132"/>
      <c r="S709" s="132"/>
      <c r="T709" s="132"/>
      <c r="U709" s="132"/>
      <c r="V709" s="132"/>
      <c r="W709" s="132"/>
      <c r="X709" s="132"/>
      <c r="Y709" s="132"/>
      <c r="Z709" s="132"/>
      <c r="AA709" s="132"/>
      <c r="AB709" s="132"/>
      <c r="AC709" s="132"/>
      <c r="AD709" s="132"/>
      <c r="AE709" s="132"/>
      <c r="AF709" s="132"/>
      <c r="AG709" s="132"/>
      <c r="AH709" s="132"/>
      <c r="AI709" s="132"/>
      <c r="AJ709" s="132"/>
      <c r="AK709" s="132"/>
      <c r="AL709" s="132"/>
      <c r="AM709" s="132"/>
      <c r="AN709" s="132"/>
      <c r="AO709" s="132"/>
      <c r="AP709" s="132"/>
      <c r="AQ709" s="141"/>
      <c r="AR709" s="132"/>
      <c r="AS709" s="132"/>
      <c r="AT709" s="47"/>
      <c r="AU709" s="7"/>
      <c r="AV709" s="134"/>
      <c r="AW709" s="132"/>
      <c r="AX709" s="132"/>
      <c r="AY709" s="132"/>
      <c r="AZ709" s="132"/>
      <c r="BA709" s="10"/>
      <c r="BB709" s="134"/>
      <c r="BC709" s="132"/>
      <c r="BD709" s="132"/>
      <c r="BE709" s="132"/>
      <c r="BF709" s="132"/>
      <c r="BG709" s="11"/>
      <c r="BH709" s="134"/>
      <c r="BI709" s="132"/>
      <c r="BJ709" s="132"/>
      <c r="BK709" s="132"/>
      <c r="BL709" s="132"/>
    </row>
    <row r="710" customFormat="false" ht="13.8" hidden="false" customHeight="false" outlineLevel="0" collapsed="false">
      <c r="A710" s="140"/>
      <c r="B710" s="140"/>
      <c r="C710" s="168"/>
      <c r="D710" s="132"/>
      <c r="E710" s="132"/>
      <c r="F710" s="132"/>
      <c r="G710" s="132"/>
      <c r="H710" s="132"/>
      <c r="I710" s="132"/>
      <c r="J710" s="132"/>
      <c r="K710" s="132"/>
      <c r="L710" s="132"/>
      <c r="M710" s="132"/>
      <c r="N710" s="140"/>
      <c r="O710" s="132"/>
      <c r="P710" s="132"/>
      <c r="Q710" s="132"/>
      <c r="R710" s="132"/>
      <c r="S710" s="132"/>
      <c r="T710" s="132"/>
      <c r="U710" s="132"/>
      <c r="V710" s="132"/>
      <c r="W710" s="132"/>
      <c r="X710" s="132"/>
      <c r="Y710" s="132"/>
      <c r="Z710" s="132"/>
      <c r="AA710" s="132"/>
      <c r="AB710" s="132"/>
      <c r="AC710" s="132"/>
      <c r="AD710" s="132"/>
      <c r="AE710" s="132"/>
      <c r="AF710" s="132"/>
      <c r="AG710" s="132"/>
      <c r="AH710" s="132"/>
      <c r="AI710" s="132"/>
      <c r="AJ710" s="132"/>
      <c r="AK710" s="132"/>
      <c r="AL710" s="132"/>
      <c r="AM710" s="132"/>
      <c r="AN710" s="132"/>
      <c r="AO710" s="132"/>
      <c r="AP710" s="132"/>
      <c r="AQ710" s="141"/>
      <c r="AR710" s="132"/>
      <c r="AS710" s="132"/>
      <c r="AT710" s="47"/>
      <c r="AU710" s="7"/>
      <c r="AV710" s="134"/>
      <c r="AW710" s="132"/>
      <c r="AX710" s="132"/>
      <c r="AY710" s="132"/>
      <c r="AZ710" s="132"/>
      <c r="BA710" s="10"/>
      <c r="BB710" s="134"/>
      <c r="BC710" s="132"/>
      <c r="BD710" s="132"/>
      <c r="BE710" s="132"/>
      <c r="BF710" s="132"/>
      <c r="BG710" s="11"/>
      <c r="BH710" s="134"/>
      <c r="BI710" s="132"/>
      <c r="BJ710" s="132"/>
      <c r="BK710" s="132"/>
      <c r="BL710" s="132"/>
    </row>
    <row r="711" customFormat="false" ht="13.8" hidden="false" customHeight="false" outlineLevel="0" collapsed="false">
      <c r="A711" s="140"/>
      <c r="B711" s="140"/>
      <c r="C711" s="168"/>
      <c r="D711" s="132"/>
      <c r="E711" s="132"/>
      <c r="F711" s="132"/>
      <c r="G711" s="132"/>
      <c r="H711" s="132"/>
      <c r="I711" s="132"/>
      <c r="J711" s="132"/>
      <c r="K711" s="132"/>
      <c r="L711" s="132"/>
      <c r="M711" s="132"/>
      <c r="N711" s="140"/>
      <c r="O711" s="132"/>
      <c r="P711" s="132"/>
      <c r="Q711" s="132"/>
      <c r="R711" s="132"/>
      <c r="S711" s="132"/>
      <c r="T711" s="132"/>
      <c r="U711" s="132"/>
      <c r="V711" s="132"/>
      <c r="W711" s="132"/>
      <c r="X711" s="132"/>
      <c r="Y711" s="132"/>
      <c r="Z711" s="132"/>
      <c r="AA711" s="132"/>
      <c r="AB711" s="132"/>
      <c r="AC711" s="132"/>
      <c r="AD711" s="132"/>
      <c r="AE711" s="132"/>
      <c r="AF711" s="132"/>
      <c r="AG711" s="132"/>
      <c r="AH711" s="132"/>
      <c r="AI711" s="132"/>
      <c r="AJ711" s="132"/>
      <c r="AK711" s="132"/>
      <c r="AL711" s="132"/>
      <c r="AM711" s="132"/>
      <c r="AN711" s="132"/>
      <c r="AO711" s="132"/>
      <c r="AP711" s="132"/>
      <c r="AQ711" s="141"/>
      <c r="AR711" s="132"/>
      <c r="AS711" s="132"/>
      <c r="AT711" s="47"/>
      <c r="AU711" s="7"/>
      <c r="AV711" s="134"/>
      <c r="AW711" s="132"/>
      <c r="AX711" s="132"/>
      <c r="AY711" s="132"/>
      <c r="AZ711" s="132"/>
      <c r="BA711" s="10"/>
      <c r="BB711" s="134"/>
      <c r="BC711" s="132"/>
      <c r="BD711" s="132"/>
      <c r="BE711" s="132"/>
      <c r="BF711" s="132"/>
      <c r="BG711" s="11"/>
      <c r="BH711" s="134"/>
      <c r="BI711" s="132"/>
      <c r="BJ711" s="132"/>
      <c r="BK711" s="132"/>
      <c r="BL711" s="132"/>
    </row>
    <row r="712" customFormat="false" ht="13.8" hidden="false" customHeight="false" outlineLevel="0" collapsed="false">
      <c r="A712" s="140"/>
      <c r="B712" s="140"/>
      <c r="C712" s="168"/>
      <c r="D712" s="132"/>
      <c r="E712" s="132"/>
      <c r="F712" s="132"/>
      <c r="G712" s="132"/>
      <c r="H712" s="132"/>
      <c r="I712" s="132"/>
      <c r="J712" s="132"/>
      <c r="K712" s="132"/>
      <c r="L712" s="132"/>
      <c r="M712" s="132"/>
      <c r="N712" s="140"/>
      <c r="O712" s="132"/>
      <c r="P712" s="132"/>
      <c r="Q712" s="132"/>
      <c r="R712" s="132"/>
      <c r="S712" s="132"/>
      <c r="T712" s="132"/>
      <c r="U712" s="132"/>
      <c r="V712" s="132"/>
      <c r="W712" s="132"/>
      <c r="X712" s="132"/>
      <c r="Y712" s="132"/>
      <c r="Z712" s="132"/>
      <c r="AA712" s="132"/>
      <c r="AB712" s="132"/>
      <c r="AC712" s="132"/>
      <c r="AD712" s="132"/>
      <c r="AE712" s="132"/>
      <c r="AF712" s="132"/>
      <c r="AG712" s="132"/>
      <c r="AH712" s="132"/>
      <c r="AI712" s="132"/>
      <c r="AJ712" s="132"/>
      <c r="AK712" s="132"/>
      <c r="AL712" s="132"/>
      <c r="AM712" s="132"/>
      <c r="AN712" s="132"/>
      <c r="AO712" s="132"/>
      <c r="AP712" s="132"/>
      <c r="AQ712" s="141"/>
      <c r="AR712" s="132"/>
      <c r="AS712" s="132"/>
      <c r="AT712" s="47"/>
      <c r="AU712" s="7"/>
      <c r="AV712" s="134"/>
      <c r="AW712" s="132"/>
      <c r="AX712" s="132"/>
      <c r="AY712" s="132"/>
      <c r="AZ712" s="132"/>
      <c r="BA712" s="10"/>
      <c r="BB712" s="134"/>
      <c r="BC712" s="132"/>
      <c r="BD712" s="132"/>
      <c r="BE712" s="132"/>
      <c r="BF712" s="132"/>
      <c r="BG712" s="11"/>
      <c r="BH712" s="134"/>
      <c r="BI712" s="132"/>
      <c r="BJ712" s="132"/>
      <c r="BK712" s="132"/>
      <c r="BL712" s="132"/>
    </row>
    <row r="713" customFormat="false" ht="13.8" hidden="false" customHeight="false" outlineLevel="0" collapsed="false">
      <c r="A713" s="140"/>
      <c r="B713" s="140"/>
      <c r="C713" s="168"/>
      <c r="D713" s="132"/>
      <c r="E713" s="132"/>
      <c r="F713" s="132"/>
      <c r="G713" s="132"/>
      <c r="H713" s="132"/>
      <c r="I713" s="132"/>
      <c r="J713" s="132"/>
      <c r="K713" s="132"/>
      <c r="L713" s="132"/>
      <c r="M713" s="132"/>
      <c r="N713" s="140"/>
      <c r="O713" s="132"/>
      <c r="P713" s="132"/>
      <c r="Q713" s="132"/>
      <c r="R713" s="132"/>
      <c r="S713" s="132"/>
      <c r="T713" s="132"/>
      <c r="U713" s="132"/>
      <c r="V713" s="132"/>
      <c r="W713" s="132"/>
      <c r="X713" s="132"/>
      <c r="Y713" s="132"/>
      <c r="Z713" s="132"/>
      <c r="AA713" s="132"/>
      <c r="AB713" s="132"/>
      <c r="AC713" s="132"/>
      <c r="AD713" s="132"/>
      <c r="AE713" s="132"/>
      <c r="AF713" s="132"/>
      <c r="AG713" s="132"/>
      <c r="AH713" s="132"/>
      <c r="AI713" s="132"/>
      <c r="AJ713" s="132"/>
      <c r="AK713" s="132"/>
      <c r="AL713" s="132"/>
      <c r="AM713" s="132"/>
      <c r="AN713" s="132"/>
      <c r="AO713" s="132"/>
      <c r="AP713" s="132"/>
      <c r="AQ713" s="141"/>
      <c r="AR713" s="132"/>
      <c r="AS713" s="132"/>
      <c r="AT713" s="47"/>
      <c r="AU713" s="7"/>
      <c r="AV713" s="134"/>
      <c r="AW713" s="132"/>
      <c r="AX713" s="132"/>
      <c r="AY713" s="132"/>
      <c r="AZ713" s="132"/>
      <c r="BA713" s="10"/>
      <c r="BB713" s="134"/>
      <c r="BC713" s="132"/>
      <c r="BD713" s="132"/>
      <c r="BE713" s="132"/>
      <c r="BF713" s="132"/>
      <c r="BG713" s="11"/>
      <c r="BH713" s="134"/>
      <c r="BI713" s="132"/>
      <c r="BJ713" s="132"/>
      <c r="BK713" s="132"/>
      <c r="BL713" s="132"/>
    </row>
    <row r="714" customFormat="false" ht="13.8" hidden="false" customHeight="false" outlineLevel="0" collapsed="false">
      <c r="A714" s="140"/>
      <c r="B714" s="140"/>
      <c r="C714" s="168"/>
      <c r="D714" s="132"/>
      <c r="E714" s="132"/>
      <c r="F714" s="132"/>
      <c r="G714" s="132"/>
      <c r="H714" s="132"/>
      <c r="I714" s="132"/>
      <c r="J714" s="132"/>
      <c r="K714" s="132"/>
      <c r="L714" s="132"/>
      <c r="M714" s="132"/>
      <c r="N714" s="140"/>
      <c r="O714" s="132"/>
      <c r="P714" s="132"/>
      <c r="Q714" s="132"/>
      <c r="R714" s="132"/>
      <c r="S714" s="132"/>
      <c r="T714" s="132"/>
      <c r="U714" s="132"/>
      <c r="V714" s="132"/>
      <c r="W714" s="132"/>
      <c r="X714" s="132"/>
      <c r="Y714" s="132"/>
      <c r="Z714" s="132"/>
      <c r="AA714" s="132"/>
      <c r="AB714" s="132"/>
      <c r="AC714" s="132"/>
      <c r="AD714" s="132"/>
      <c r="AE714" s="132"/>
      <c r="AF714" s="132"/>
      <c r="AG714" s="132"/>
      <c r="AH714" s="132"/>
      <c r="AI714" s="132"/>
      <c r="AJ714" s="132"/>
      <c r="AK714" s="132"/>
      <c r="AL714" s="132"/>
      <c r="AM714" s="132"/>
      <c r="AN714" s="132"/>
      <c r="AO714" s="132"/>
      <c r="AP714" s="132"/>
      <c r="AQ714" s="141"/>
      <c r="AR714" s="132"/>
      <c r="AS714" s="132"/>
      <c r="AT714" s="47"/>
      <c r="AU714" s="7"/>
      <c r="AV714" s="134"/>
      <c r="AW714" s="132"/>
      <c r="AX714" s="132"/>
      <c r="AY714" s="132"/>
      <c r="AZ714" s="132"/>
      <c r="BA714" s="10"/>
      <c r="BB714" s="134"/>
      <c r="BC714" s="132"/>
      <c r="BD714" s="132"/>
      <c r="BE714" s="132"/>
      <c r="BF714" s="132"/>
      <c r="BG714" s="11"/>
      <c r="BH714" s="134"/>
      <c r="BI714" s="132"/>
      <c r="BJ714" s="132"/>
      <c r="BK714" s="132"/>
      <c r="BL714" s="132"/>
    </row>
    <row r="715" customFormat="false" ht="13.8" hidden="false" customHeight="false" outlineLevel="0" collapsed="false">
      <c r="A715" s="140"/>
      <c r="B715" s="140"/>
      <c r="C715" s="168"/>
      <c r="D715" s="132"/>
      <c r="E715" s="132"/>
      <c r="F715" s="132"/>
      <c r="G715" s="132"/>
      <c r="H715" s="132"/>
      <c r="I715" s="132"/>
      <c r="J715" s="132"/>
      <c r="K715" s="132"/>
      <c r="L715" s="132"/>
      <c r="M715" s="132"/>
      <c r="N715" s="140"/>
      <c r="O715" s="132"/>
      <c r="P715" s="132"/>
      <c r="Q715" s="132"/>
      <c r="R715" s="132"/>
      <c r="S715" s="132"/>
      <c r="T715" s="132"/>
      <c r="U715" s="132"/>
      <c r="V715" s="132"/>
      <c r="W715" s="132"/>
      <c r="X715" s="132"/>
      <c r="Y715" s="132"/>
      <c r="Z715" s="132"/>
      <c r="AA715" s="132"/>
      <c r="AB715" s="132"/>
      <c r="AC715" s="132"/>
      <c r="AD715" s="132"/>
      <c r="AE715" s="132"/>
      <c r="AF715" s="132"/>
      <c r="AG715" s="132"/>
      <c r="AH715" s="132"/>
      <c r="AI715" s="132"/>
      <c r="AJ715" s="132"/>
      <c r="AK715" s="132"/>
      <c r="AL715" s="132"/>
      <c r="AM715" s="132"/>
      <c r="AN715" s="132"/>
      <c r="AO715" s="132"/>
      <c r="AP715" s="132"/>
      <c r="AQ715" s="141"/>
      <c r="AR715" s="132"/>
      <c r="AS715" s="132"/>
      <c r="AT715" s="47"/>
      <c r="AU715" s="7"/>
      <c r="AV715" s="134"/>
      <c r="AW715" s="132"/>
      <c r="AX715" s="132"/>
      <c r="AY715" s="132"/>
      <c r="AZ715" s="132"/>
      <c r="BA715" s="10"/>
      <c r="BB715" s="134"/>
      <c r="BC715" s="132"/>
      <c r="BD715" s="132"/>
      <c r="BE715" s="132"/>
      <c r="BF715" s="132"/>
      <c r="BG715" s="11"/>
      <c r="BH715" s="134"/>
      <c r="BI715" s="132"/>
      <c r="BJ715" s="132"/>
      <c r="BK715" s="132"/>
      <c r="BL715" s="132"/>
    </row>
    <row r="716" customFormat="false" ht="13.8" hidden="false" customHeight="false" outlineLevel="0" collapsed="false">
      <c r="A716" s="140"/>
      <c r="B716" s="140"/>
      <c r="C716" s="168"/>
      <c r="D716" s="132"/>
      <c r="E716" s="132"/>
      <c r="F716" s="132"/>
      <c r="G716" s="132"/>
      <c r="H716" s="132"/>
      <c r="I716" s="132"/>
      <c r="J716" s="132"/>
      <c r="K716" s="132"/>
      <c r="L716" s="132"/>
      <c r="M716" s="132"/>
      <c r="N716" s="140"/>
      <c r="O716" s="132"/>
      <c r="P716" s="132"/>
      <c r="Q716" s="132"/>
      <c r="R716" s="132"/>
      <c r="S716" s="132"/>
      <c r="T716" s="132"/>
      <c r="U716" s="132"/>
      <c r="V716" s="132"/>
      <c r="W716" s="132"/>
      <c r="X716" s="132"/>
      <c r="Y716" s="132"/>
      <c r="Z716" s="132"/>
      <c r="AA716" s="132"/>
      <c r="AB716" s="132"/>
      <c r="AC716" s="132"/>
      <c r="AD716" s="132"/>
      <c r="AE716" s="132"/>
      <c r="AF716" s="132"/>
      <c r="AG716" s="132"/>
      <c r="AH716" s="132"/>
      <c r="AI716" s="132"/>
      <c r="AJ716" s="132"/>
      <c r="AK716" s="132"/>
      <c r="AL716" s="132"/>
      <c r="AM716" s="132"/>
      <c r="AN716" s="132"/>
      <c r="AO716" s="132"/>
      <c r="AP716" s="132"/>
      <c r="AQ716" s="141"/>
      <c r="AR716" s="132"/>
      <c r="AS716" s="132"/>
      <c r="AT716" s="47"/>
      <c r="AU716" s="7"/>
      <c r="AV716" s="134"/>
      <c r="AW716" s="132"/>
      <c r="AX716" s="132"/>
      <c r="AY716" s="132"/>
      <c r="AZ716" s="132"/>
      <c r="BA716" s="10"/>
      <c r="BB716" s="134"/>
      <c r="BC716" s="132"/>
      <c r="BD716" s="132"/>
      <c r="BE716" s="132"/>
      <c r="BF716" s="132"/>
      <c r="BG716" s="11"/>
      <c r="BH716" s="134"/>
      <c r="BI716" s="132"/>
      <c r="BJ716" s="132"/>
      <c r="BK716" s="132"/>
      <c r="BL716" s="132"/>
    </row>
    <row r="717" customFormat="false" ht="13.8" hidden="false" customHeight="false" outlineLevel="0" collapsed="false">
      <c r="A717" s="140"/>
      <c r="B717" s="140"/>
      <c r="C717" s="168"/>
      <c r="D717" s="132"/>
      <c r="E717" s="132"/>
      <c r="F717" s="132"/>
      <c r="G717" s="132"/>
      <c r="H717" s="132"/>
      <c r="I717" s="132"/>
      <c r="J717" s="132"/>
      <c r="K717" s="132"/>
      <c r="L717" s="132"/>
      <c r="M717" s="132"/>
      <c r="N717" s="140"/>
      <c r="O717" s="132"/>
      <c r="P717" s="132"/>
      <c r="Q717" s="132"/>
      <c r="R717" s="132"/>
      <c r="S717" s="132"/>
      <c r="T717" s="132"/>
      <c r="U717" s="132"/>
      <c r="V717" s="132"/>
      <c r="W717" s="132"/>
      <c r="X717" s="132"/>
      <c r="Y717" s="132"/>
      <c r="Z717" s="132"/>
      <c r="AA717" s="132"/>
      <c r="AB717" s="132"/>
      <c r="AC717" s="132"/>
      <c r="AD717" s="132"/>
      <c r="AE717" s="132"/>
      <c r="AF717" s="132"/>
      <c r="AG717" s="132"/>
      <c r="AH717" s="132"/>
      <c r="AI717" s="132"/>
      <c r="AJ717" s="132"/>
      <c r="AK717" s="132"/>
      <c r="AL717" s="132"/>
      <c r="AM717" s="132"/>
      <c r="AN717" s="132"/>
      <c r="AO717" s="132"/>
      <c r="AP717" s="132"/>
      <c r="AQ717" s="141"/>
      <c r="AR717" s="132"/>
      <c r="AS717" s="132"/>
      <c r="AT717" s="47"/>
      <c r="AU717" s="7"/>
      <c r="AV717" s="134"/>
      <c r="AW717" s="132"/>
      <c r="AX717" s="132"/>
      <c r="AY717" s="132"/>
      <c r="AZ717" s="132"/>
      <c r="BA717" s="10"/>
      <c r="BB717" s="134"/>
      <c r="BC717" s="132"/>
      <c r="BD717" s="132"/>
      <c r="BE717" s="132"/>
      <c r="BF717" s="132"/>
      <c r="BG717" s="11"/>
      <c r="BH717" s="134"/>
      <c r="BI717" s="132"/>
      <c r="BJ717" s="132"/>
      <c r="BK717" s="132"/>
      <c r="BL717" s="132"/>
    </row>
    <row r="718" customFormat="false" ht="13.8" hidden="false" customHeight="false" outlineLevel="0" collapsed="false">
      <c r="A718" s="140"/>
      <c r="B718" s="140"/>
      <c r="C718" s="168"/>
      <c r="D718" s="132"/>
      <c r="E718" s="132"/>
      <c r="F718" s="132"/>
      <c r="G718" s="132"/>
      <c r="H718" s="132"/>
      <c r="I718" s="132"/>
      <c r="J718" s="132"/>
      <c r="K718" s="132"/>
      <c r="L718" s="132"/>
      <c r="M718" s="132"/>
      <c r="N718" s="140"/>
      <c r="O718" s="132"/>
      <c r="P718" s="132"/>
      <c r="Q718" s="132"/>
      <c r="R718" s="132"/>
      <c r="S718" s="132"/>
      <c r="T718" s="132"/>
      <c r="U718" s="132"/>
      <c r="V718" s="132"/>
      <c r="W718" s="132"/>
      <c r="X718" s="132"/>
      <c r="Y718" s="132"/>
      <c r="Z718" s="132"/>
      <c r="AA718" s="132"/>
      <c r="AB718" s="132"/>
      <c r="AC718" s="132"/>
      <c r="AD718" s="132"/>
      <c r="AE718" s="132"/>
      <c r="AF718" s="132"/>
      <c r="AG718" s="132"/>
      <c r="AH718" s="132"/>
      <c r="AI718" s="132"/>
      <c r="AJ718" s="132"/>
      <c r="AK718" s="132"/>
      <c r="AL718" s="132"/>
      <c r="AM718" s="132"/>
      <c r="AN718" s="132"/>
      <c r="AO718" s="132"/>
      <c r="AP718" s="132"/>
      <c r="AQ718" s="141"/>
      <c r="AR718" s="132"/>
      <c r="AS718" s="132"/>
      <c r="AT718" s="47"/>
      <c r="AU718" s="7"/>
      <c r="AV718" s="134"/>
      <c r="AW718" s="132"/>
      <c r="AX718" s="132"/>
      <c r="AY718" s="132"/>
      <c r="AZ718" s="132"/>
      <c r="BA718" s="10"/>
      <c r="BB718" s="134"/>
      <c r="BC718" s="132"/>
      <c r="BD718" s="132"/>
      <c r="BE718" s="132"/>
      <c r="BF718" s="132"/>
      <c r="BG718" s="11"/>
      <c r="BH718" s="134"/>
      <c r="BI718" s="132"/>
      <c r="BJ718" s="132"/>
      <c r="BK718" s="132"/>
      <c r="BL718" s="132"/>
    </row>
    <row r="719" customFormat="false" ht="13.8" hidden="false" customHeight="false" outlineLevel="0" collapsed="false">
      <c r="A719" s="140"/>
      <c r="B719" s="140"/>
      <c r="C719" s="168"/>
      <c r="D719" s="132"/>
      <c r="E719" s="132"/>
      <c r="F719" s="132"/>
      <c r="G719" s="132"/>
      <c r="H719" s="132"/>
      <c r="I719" s="132"/>
      <c r="J719" s="132"/>
      <c r="K719" s="132"/>
      <c r="L719" s="132"/>
      <c r="M719" s="132"/>
      <c r="N719" s="140"/>
      <c r="O719" s="132"/>
      <c r="P719" s="132"/>
      <c r="Q719" s="132"/>
      <c r="R719" s="132"/>
      <c r="S719" s="132"/>
      <c r="T719" s="132"/>
      <c r="U719" s="132"/>
      <c r="V719" s="132"/>
      <c r="W719" s="132"/>
      <c r="X719" s="132"/>
      <c r="Y719" s="132"/>
      <c r="Z719" s="132"/>
      <c r="AA719" s="132"/>
      <c r="AB719" s="132"/>
      <c r="AC719" s="132"/>
      <c r="AD719" s="132"/>
      <c r="AE719" s="132"/>
      <c r="AF719" s="132"/>
      <c r="AG719" s="132"/>
      <c r="AH719" s="132"/>
      <c r="AI719" s="132"/>
      <c r="AJ719" s="132"/>
      <c r="AK719" s="132"/>
      <c r="AL719" s="132"/>
      <c r="AM719" s="132"/>
      <c r="AN719" s="132"/>
      <c r="AO719" s="132"/>
      <c r="AP719" s="132"/>
      <c r="AQ719" s="141"/>
      <c r="AR719" s="132"/>
      <c r="AS719" s="132"/>
      <c r="AT719" s="47"/>
      <c r="AU719" s="7"/>
      <c r="AV719" s="134"/>
      <c r="AW719" s="132"/>
      <c r="AX719" s="132"/>
      <c r="AY719" s="132"/>
      <c r="AZ719" s="132"/>
      <c r="BA719" s="10"/>
      <c r="BB719" s="134"/>
      <c r="BC719" s="132"/>
      <c r="BD719" s="132"/>
      <c r="BE719" s="132"/>
      <c r="BF719" s="132"/>
      <c r="BG719" s="11"/>
      <c r="BH719" s="134"/>
      <c r="BI719" s="132"/>
      <c r="BJ719" s="132"/>
      <c r="BK719" s="132"/>
      <c r="BL719" s="132"/>
    </row>
    <row r="720" customFormat="false" ht="13.8" hidden="false" customHeight="false" outlineLevel="0" collapsed="false">
      <c r="A720" s="140"/>
      <c r="B720" s="140"/>
      <c r="C720" s="168"/>
      <c r="D720" s="132"/>
      <c r="E720" s="132"/>
      <c r="F720" s="132"/>
      <c r="G720" s="132"/>
      <c r="H720" s="132"/>
      <c r="I720" s="132"/>
      <c r="J720" s="132"/>
      <c r="K720" s="132"/>
      <c r="L720" s="132"/>
      <c r="M720" s="132"/>
      <c r="N720" s="140"/>
      <c r="O720" s="132"/>
      <c r="P720" s="132"/>
      <c r="Q720" s="132"/>
      <c r="R720" s="132"/>
      <c r="S720" s="132"/>
      <c r="T720" s="132"/>
      <c r="U720" s="132"/>
      <c r="V720" s="132"/>
      <c r="W720" s="132"/>
      <c r="X720" s="132"/>
      <c r="Y720" s="132"/>
      <c r="Z720" s="132"/>
      <c r="AA720" s="132"/>
      <c r="AB720" s="132"/>
      <c r="AC720" s="132"/>
      <c r="AD720" s="132"/>
      <c r="AE720" s="132"/>
      <c r="AF720" s="132"/>
      <c r="AG720" s="132"/>
      <c r="AH720" s="132"/>
      <c r="AI720" s="132"/>
      <c r="AJ720" s="132"/>
      <c r="AK720" s="132"/>
      <c r="AL720" s="132"/>
      <c r="AM720" s="132"/>
      <c r="AN720" s="132"/>
      <c r="AO720" s="132"/>
      <c r="AP720" s="132"/>
      <c r="AQ720" s="141"/>
      <c r="AR720" s="132"/>
      <c r="AS720" s="132"/>
      <c r="AT720" s="47"/>
      <c r="AU720" s="7"/>
      <c r="AV720" s="134"/>
      <c r="AW720" s="132"/>
      <c r="AX720" s="132"/>
      <c r="AY720" s="132"/>
      <c r="AZ720" s="132"/>
      <c r="BA720" s="10"/>
      <c r="BB720" s="134"/>
      <c r="BC720" s="132"/>
      <c r="BD720" s="132"/>
      <c r="BE720" s="132"/>
      <c r="BF720" s="132"/>
      <c r="BG720" s="11"/>
      <c r="BH720" s="134"/>
      <c r="BI720" s="132"/>
      <c r="BJ720" s="132"/>
      <c r="BK720" s="132"/>
      <c r="BL720" s="132"/>
    </row>
    <row r="721" customFormat="false" ht="13.8" hidden="false" customHeight="false" outlineLevel="0" collapsed="false">
      <c r="A721" s="140"/>
      <c r="B721" s="140"/>
      <c r="C721" s="168"/>
      <c r="D721" s="132"/>
      <c r="E721" s="132"/>
      <c r="F721" s="132"/>
      <c r="G721" s="132"/>
      <c r="H721" s="132"/>
      <c r="I721" s="132"/>
      <c r="J721" s="132"/>
      <c r="K721" s="132"/>
      <c r="L721" s="132"/>
      <c r="M721" s="132"/>
      <c r="N721" s="140"/>
      <c r="O721" s="132"/>
      <c r="P721" s="132"/>
      <c r="Q721" s="132"/>
      <c r="R721" s="132"/>
      <c r="S721" s="132"/>
      <c r="T721" s="132"/>
      <c r="U721" s="132"/>
      <c r="V721" s="132"/>
      <c r="W721" s="132"/>
      <c r="X721" s="132"/>
      <c r="Y721" s="132"/>
      <c r="Z721" s="132"/>
      <c r="AA721" s="132"/>
      <c r="AB721" s="132"/>
      <c r="AC721" s="132"/>
      <c r="AD721" s="132"/>
      <c r="AE721" s="132"/>
      <c r="AF721" s="132"/>
      <c r="AG721" s="132"/>
      <c r="AH721" s="132"/>
      <c r="AI721" s="132"/>
      <c r="AJ721" s="132"/>
      <c r="AK721" s="132"/>
      <c r="AL721" s="132"/>
      <c r="AM721" s="132"/>
      <c r="AN721" s="132"/>
      <c r="AO721" s="132"/>
      <c r="AP721" s="132"/>
      <c r="AQ721" s="141"/>
      <c r="AR721" s="132"/>
      <c r="AS721" s="132"/>
      <c r="AT721" s="47"/>
      <c r="AU721" s="7"/>
      <c r="AV721" s="134"/>
      <c r="AW721" s="132"/>
      <c r="AX721" s="132"/>
      <c r="AY721" s="132"/>
      <c r="AZ721" s="132"/>
      <c r="BA721" s="10"/>
      <c r="BB721" s="134"/>
      <c r="BC721" s="132"/>
      <c r="BD721" s="132"/>
      <c r="BE721" s="132"/>
      <c r="BF721" s="132"/>
      <c r="BG721" s="11"/>
      <c r="BH721" s="134"/>
      <c r="BI721" s="132"/>
      <c r="BJ721" s="132"/>
      <c r="BK721" s="132"/>
      <c r="BL721" s="132"/>
    </row>
    <row r="722" customFormat="false" ht="13.8" hidden="false" customHeight="false" outlineLevel="0" collapsed="false">
      <c r="A722" s="140"/>
      <c r="B722" s="140"/>
      <c r="C722" s="168"/>
      <c r="D722" s="132"/>
      <c r="E722" s="132"/>
      <c r="F722" s="132"/>
      <c r="G722" s="132"/>
      <c r="H722" s="132"/>
      <c r="I722" s="132"/>
      <c r="J722" s="132"/>
      <c r="K722" s="132"/>
      <c r="L722" s="132"/>
      <c r="M722" s="132"/>
      <c r="N722" s="140"/>
      <c r="O722" s="132"/>
      <c r="P722" s="132"/>
      <c r="Q722" s="132"/>
      <c r="R722" s="132"/>
      <c r="S722" s="132"/>
      <c r="T722" s="132"/>
      <c r="U722" s="132"/>
      <c r="V722" s="132"/>
      <c r="W722" s="132"/>
      <c r="X722" s="132"/>
      <c r="Y722" s="132"/>
      <c r="Z722" s="132"/>
      <c r="AA722" s="132"/>
      <c r="AB722" s="132"/>
      <c r="AC722" s="132"/>
      <c r="AD722" s="132"/>
      <c r="AE722" s="132"/>
      <c r="AF722" s="132"/>
      <c r="AG722" s="132"/>
      <c r="AH722" s="132"/>
      <c r="AI722" s="132"/>
      <c r="AJ722" s="132"/>
      <c r="AK722" s="132"/>
      <c r="AL722" s="132"/>
      <c r="AM722" s="132"/>
      <c r="AN722" s="132"/>
      <c r="AO722" s="132"/>
      <c r="AP722" s="132"/>
      <c r="AQ722" s="141"/>
      <c r="AR722" s="132"/>
      <c r="AS722" s="132"/>
      <c r="AT722" s="47"/>
      <c r="AU722" s="7"/>
      <c r="AV722" s="134"/>
      <c r="AW722" s="132"/>
      <c r="AX722" s="132"/>
      <c r="AY722" s="132"/>
      <c r="AZ722" s="132"/>
      <c r="BA722" s="10"/>
      <c r="BB722" s="134"/>
      <c r="BC722" s="132"/>
      <c r="BD722" s="132"/>
      <c r="BE722" s="132"/>
      <c r="BF722" s="132"/>
      <c r="BG722" s="11"/>
      <c r="BH722" s="134"/>
      <c r="BI722" s="132"/>
      <c r="BJ722" s="132"/>
      <c r="BK722" s="132"/>
      <c r="BL722" s="132"/>
    </row>
    <row r="723" customFormat="false" ht="13.8" hidden="false" customHeight="false" outlineLevel="0" collapsed="false">
      <c r="A723" s="140"/>
      <c r="B723" s="140"/>
      <c r="C723" s="168"/>
      <c r="D723" s="132"/>
      <c r="E723" s="132"/>
      <c r="F723" s="132"/>
      <c r="G723" s="132"/>
      <c r="H723" s="132"/>
      <c r="I723" s="132"/>
      <c r="J723" s="132"/>
      <c r="K723" s="132"/>
      <c r="L723" s="132"/>
      <c r="M723" s="132"/>
      <c r="N723" s="140"/>
      <c r="O723" s="132"/>
      <c r="P723" s="132"/>
      <c r="Q723" s="132"/>
      <c r="R723" s="132"/>
      <c r="S723" s="132"/>
      <c r="T723" s="132"/>
      <c r="U723" s="132"/>
      <c r="V723" s="132"/>
      <c r="W723" s="132"/>
      <c r="X723" s="132"/>
      <c r="Y723" s="132"/>
      <c r="Z723" s="132"/>
      <c r="AA723" s="132"/>
      <c r="AB723" s="132"/>
      <c r="AC723" s="132"/>
      <c r="AD723" s="132"/>
      <c r="AE723" s="132"/>
      <c r="AF723" s="132"/>
      <c r="AG723" s="132"/>
      <c r="AH723" s="132"/>
      <c r="AI723" s="132"/>
      <c r="AJ723" s="132"/>
      <c r="AK723" s="132"/>
      <c r="AL723" s="132"/>
      <c r="AM723" s="132"/>
      <c r="AN723" s="132"/>
      <c r="AO723" s="132"/>
      <c r="AP723" s="132"/>
      <c r="AQ723" s="141"/>
      <c r="AR723" s="132"/>
      <c r="AS723" s="132"/>
      <c r="AT723" s="47"/>
      <c r="AU723" s="7"/>
      <c r="AV723" s="134"/>
      <c r="AW723" s="132"/>
      <c r="AX723" s="132"/>
      <c r="AY723" s="132"/>
      <c r="AZ723" s="132"/>
      <c r="BA723" s="10"/>
      <c r="BB723" s="134"/>
      <c r="BC723" s="132"/>
      <c r="BD723" s="132"/>
      <c r="BE723" s="132"/>
      <c r="BF723" s="132"/>
      <c r="BG723" s="11"/>
      <c r="BH723" s="134"/>
      <c r="BI723" s="132"/>
      <c r="BJ723" s="132"/>
      <c r="BK723" s="132"/>
      <c r="BL723" s="132"/>
    </row>
    <row r="724" customFormat="false" ht="13.8" hidden="false" customHeight="false" outlineLevel="0" collapsed="false">
      <c r="A724" s="140"/>
      <c r="B724" s="140"/>
      <c r="C724" s="168"/>
      <c r="D724" s="132"/>
      <c r="E724" s="132"/>
      <c r="F724" s="132"/>
      <c r="G724" s="132"/>
      <c r="H724" s="132"/>
      <c r="I724" s="132"/>
      <c r="J724" s="132"/>
      <c r="K724" s="132"/>
      <c r="L724" s="132"/>
      <c r="M724" s="132"/>
      <c r="N724" s="140"/>
      <c r="O724" s="132"/>
      <c r="P724" s="132"/>
      <c r="Q724" s="132"/>
      <c r="R724" s="132"/>
      <c r="S724" s="132"/>
      <c r="T724" s="132"/>
      <c r="U724" s="132"/>
      <c r="V724" s="132"/>
      <c r="W724" s="132"/>
      <c r="X724" s="132"/>
      <c r="Y724" s="132"/>
      <c r="Z724" s="132"/>
      <c r="AA724" s="132"/>
      <c r="AB724" s="132"/>
      <c r="AC724" s="132"/>
      <c r="AD724" s="132"/>
      <c r="AE724" s="132"/>
      <c r="AF724" s="132"/>
      <c r="AG724" s="132"/>
      <c r="AH724" s="132"/>
      <c r="AI724" s="132"/>
      <c r="AJ724" s="132"/>
      <c r="AK724" s="132"/>
      <c r="AL724" s="132"/>
      <c r="AM724" s="132"/>
      <c r="AN724" s="132"/>
      <c r="AO724" s="132"/>
      <c r="AP724" s="132"/>
      <c r="AQ724" s="141"/>
      <c r="AR724" s="132"/>
      <c r="AS724" s="132"/>
      <c r="AT724" s="47"/>
      <c r="AU724" s="7"/>
      <c r="AV724" s="134"/>
      <c r="AW724" s="132"/>
      <c r="AX724" s="132"/>
      <c r="AY724" s="132"/>
      <c r="AZ724" s="132"/>
      <c r="BA724" s="10"/>
      <c r="BB724" s="134"/>
      <c r="BC724" s="132"/>
      <c r="BD724" s="132"/>
      <c r="BE724" s="132"/>
      <c r="BF724" s="132"/>
      <c r="BG724" s="11"/>
      <c r="BH724" s="134"/>
      <c r="BI724" s="132"/>
      <c r="BJ724" s="132"/>
      <c r="BK724" s="132"/>
      <c r="BL724" s="132"/>
    </row>
    <row r="725" customFormat="false" ht="13.8" hidden="false" customHeight="false" outlineLevel="0" collapsed="false">
      <c r="A725" s="140"/>
      <c r="B725" s="140"/>
      <c r="C725" s="168"/>
      <c r="D725" s="132"/>
      <c r="E725" s="132"/>
      <c r="F725" s="132"/>
      <c r="G725" s="132"/>
      <c r="H725" s="132"/>
      <c r="I725" s="132"/>
      <c r="J725" s="132"/>
      <c r="K725" s="132"/>
      <c r="L725" s="132"/>
      <c r="M725" s="132"/>
      <c r="N725" s="140"/>
      <c r="O725" s="132"/>
      <c r="P725" s="132"/>
      <c r="Q725" s="132"/>
      <c r="R725" s="132"/>
      <c r="S725" s="132"/>
      <c r="T725" s="132"/>
      <c r="U725" s="132"/>
      <c r="V725" s="132"/>
      <c r="W725" s="132"/>
      <c r="X725" s="132"/>
      <c r="Y725" s="132"/>
      <c r="Z725" s="132"/>
      <c r="AA725" s="132"/>
      <c r="AB725" s="132"/>
      <c r="AC725" s="132"/>
      <c r="AD725" s="132"/>
      <c r="AE725" s="132"/>
      <c r="AF725" s="132"/>
      <c r="AG725" s="132"/>
      <c r="AH725" s="132"/>
      <c r="AI725" s="132"/>
      <c r="AJ725" s="132"/>
      <c r="AK725" s="132"/>
      <c r="AL725" s="132"/>
      <c r="AM725" s="132"/>
      <c r="AN725" s="132"/>
      <c r="AO725" s="132"/>
      <c r="AP725" s="132"/>
      <c r="AQ725" s="141"/>
      <c r="AR725" s="132"/>
      <c r="AS725" s="132"/>
      <c r="AT725" s="47"/>
      <c r="AU725" s="7"/>
      <c r="AV725" s="134"/>
      <c r="AW725" s="132"/>
      <c r="AX725" s="132"/>
      <c r="AY725" s="132"/>
      <c r="AZ725" s="132"/>
      <c r="BA725" s="10"/>
      <c r="BB725" s="134"/>
      <c r="BC725" s="132"/>
      <c r="BD725" s="132"/>
      <c r="BE725" s="132"/>
      <c r="BF725" s="132"/>
      <c r="BG725" s="11"/>
      <c r="BH725" s="134"/>
      <c r="BI725" s="132"/>
      <c r="BJ725" s="132"/>
      <c r="BK725" s="132"/>
      <c r="BL725" s="132"/>
    </row>
    <row r="726" customFormat="false" ht="13.8" hidden="false" customHeight="false" outlineLevel="0" collapsed="false">
      <c r="A726" s="140"/>
      <c r="B726" s="140"/>
      <c r="C726" s="168"/>
      <c r="D726" s="132"/>
      <c r="E726" s="132"/>
      <c r="F726" s="132"/>
      <c r="G726" s="132"/>
      <c r="H726" s="132"/>
      <c r="I726" s="132"/>
      <c r="J726" s="132"/>
      <c r="K726" s="132"/>
      <c r="L726" s="132"/>
      <c r="M726" s="132"/>
      <c r="N726" s="140"/>
      <c r="O726" s="132"/>
      <c r="P726" s="132"/>
      <c r="Q726" s="132"/>
      <c r="R726" s="132"/>
      <c r="S726" s="132"/>
      <c r="T726" s="132"/>
      <c r="U726" s="132"/>
      <c r="V726" s="132"/>
      <c r="W726" s="132"/>
      <c r="X726" s="132"/>
      <c r="Y726" s="132"/>
      <c r="Z726" s="132"/>
      <c r="AA726" s="132"/>
      <c r="AB726" s="132"/>
      <c r="AC726" s="132"/>
      <c r="AD726" s="132"/>
      <c r="AE726" s="132"/>
      <c r="AF726" s="132"/>
      <c r="AG726" s="132"/>
      <c r="AH726" s="132"/>
      <c r="AI726" s="132"/>
      <c r="AJ726" s="132"/>
      <c r="AK726" s="132"/>
      <c r="AL726" s="132"/>
      <c r="AM726" s="132"/>
      <c r="AN726" s="132"/>
      <c r="AO726" s="132"/>
      <c r="AP726" s="132"/>
      <c r="AQ726" s="141"/>
      <c r="AR726" s="132"/>
      <c r="AS726" s="132"/>
      <c r="AT726" s="47"/>
      <c r="AU726" s="7"/>
      <c r="AV726" s="134"/>
      <c r="AW726" s="132"/>
      <c r="AX726" s="132"/>
      <c r="AY726" s="132"/>
      <c r="AZ726" s="132"/>
      <c r="BA726" s="10"/>
      <c r="BB726" s="134"/>
      <c r="BC726" s="132"/>
      <c r="BD726" s="132"/>
      <c r="BE726" s="132"/>
      <c r="BF726" s="132"/>
      <c r="BG726" s="11"/>
      <c r="BH726" s="134"/>
      <c r="BI726" s="132"/>
      <c r="BJ726" s="132"/>
      <c r="BK726" s="132"/>
      <c r="BL726" s="132"/>
    </row>
    <row r="727" customFormat="false" ht="13.8" hidden="false" customHeight="false" outlineLevel="0" collapsed="false">
      <c r="A727" s="140"/>
      <c r="B727" s="140"/>
      <c r="C727" s="168"/>
      <c r="D727" s="132"/>
      <c r="E727" s="132"/>
      <c r="F727" s="132"/>
      <c r="G727" s="132"/>
      <c r="H727" s="132"/>
      <c r="I727" s="132"/>
      <c r="J727" s="132"/>
      <c r="K727" s="132"/>
      <c r="L727" s="132"/>
      <c r="M727" s="132"/>
      <c r="N727" s="140"/>
      <c r="O727" s="132"/>
      <c r="P727" s="132"/>
      <c r="Q727" s="132"/>
      <c r="R727" s="132"/>
      <c r="S727" s="132"/>
      <c r="T727" s="132"/>
      <c r="U727" s="132"/>
      <c r="V727" s="132"/>
      <c r="W727" s="132"/>
      <c r="X727" s="132"/>
      <c r="Y727" s="132"/>
      <c r="Z727" s="132"/>
      <c r="AA727" s="132"/>
      <c r="AB727" s="132"/>
      <c r="AC727" s="132"/>
      <c r="AD727" s="132"/>
      <c r="AE727" s="132"/>
      <c r="AF727" s="132"/>
      <c r="AG727" s="132"/>
      <c r="AH727" s="132"/>
      <c r="AI727" s="132"/>
      <c r="AJ727" s="132"/>
      <c r="AK727" s="132"/>
      <c r="AL727" s="132"/>
      <c r="AM727" s="132"/>
      <c r="AN727" s="132"/>
      <c r="AO727" s="132"/>
      <c r="AP727" s="132"/>
      <c r="AQ727" s="141"/>
      <c r="AR727" s="132"/>
      <c r="AS727" s="132"/>
      <c r="AT727" s="47"/>
      <c r="AU727" s="7"/>
      <c r="AV727" s="134"/>
      <c r="AW727" s="132"/>
      <c r="AX727" s="132"/>
      <c r="AY727" s="132"/>
      <c r="AZ727" s="132"/>
      <c r="BA727" s="10"/>
      <c r="BB727" s="134"/>
      <c r="BC727" s="132"/>
      <c r="BD727" s="132"/>
      <c r="BE727" s="132"/>
      <c r="BF727" s="132"/>
      <c r="BG727" s="11"/>
      <c r="BH727" s="134"/>
      <c r="BI727" s="132"/>
      <c r="BJ727" s="132"/>
      <c r="BK727" s="132"/>
      <c r="BL727" s="132"/>
    </row>
    <row r="728" customFormat="false" ht="13.8" hidden="false" customHeight="false" outlineLevel="0" collapsed="false">
      <c r="A728" s="140"/>
      <c r="B728" s="140"/>
      <c r="C728" s="168"/>
      <c r="D728" s="132"/>
      <c r="E728" s="132"/>
      <c r="F728" s="132"/>
      <c r="G728" s="132"/>
      <c r="H728" s="132"/>
      <c r="I728" s="132"/>
      <c r="J728" s="132"/>
      <c r="K728" s="132"/>
      <c r="L728" s="132"/>
      <c r="M728" s="132"/>
      <c r="N728" s="140"/>
      <c r="O728" s="132"/>
      <c r="P728" s="132"/>
      <c r="Q728" s="132"/>
      <c r="R728" s="132"/>
      <c r="S728" s="132"/>
      <c r="T728" s="132"/>
      <c r="U728" s="132"/>
      <c r="V728" s="132"/>
      <c r="W728" s="132"/>
      <c r="X728" s="132"/>
      <c r="Y728" s="132"/>
      <c r="Z728" s="132"/>
      <c r="AA728" s="132"/>
      <c r="AB728" s="132"/>
      <c r="AC728" s="132"/>
      <c r="AD728" s="132"/>
      <c r="AE728" s="132"/>
      <c r="AF728" s="132"/>
      <c r="AG728" s="132"/>
      <c r="AH728" s="132"/>
      <c r="AI728" s="132"/>
      <c r="AJ728" s="132"/>
      <c r="AK728" s="132"/>
      <c r="AL728" s="132"/>
      <c r="AM728" s="132"/>
      <c r="AN728" s="132"/>
      <c r="AO728" s="132"/>
      <c r="AP728" s="132"/>
      <c r="AQ728" s="141"/>
      <c r="AR728" s="132"/>
      <c r="AS728" s="132"/>
      <c r="AT728" s="47"/>
      <c r="AU728" s="7"/>
      <c r="AV728" s="134"/>
      <c r="AW728" s="132"/>
      <c r="AX728" s="132"/>
      <c r="AY728" s="132"/>
      <c r="AZ728" s="132"/>
      <c r="BA728" s="10"/>
      <c r="BB728" s="134"/>
      <c r="BC728" s="132"/>
      <c r="BD728" s="132"/>
      <c r="BE728" s="132"/>
      <c r="BF728" s="132"/>
      <c r="BG728" s="11"/>
      <c r="BH728" s="134"/>
      <c r="BI728" s="132"/>
      <c r="BJ728" s="132"/>
      <c r="BK728" s="132"/>
      <c r="BL728" s="132"/>
    </row>
    <row r="729" customFormat="false" ht="13.8" hidden="false" customHeight="false" outlineLevel="0" collapsed="false">
      <c r="A729" s="140"/>
      <c r="B729" s="140"/>
      <c r="C729" s="168"/>
      <c r="D729" s="132"/>
      <c r="E729" s="132"/>
      <c r="F729" s="132"/>
      <c r="G729" s="132"/>
      <c r="H729" s="132"/>
      <c r="I729" s="132"/>
      <c r="J729" s="132"/>
      <c r="K729" s="132"/>
      <c r="L729" s="132"/>
      <c r="M729" s="132"/>
      <c r="N729" s="140"/>
      <c r="O729" s="132"/>
      <c r="P729" s="132"/>
      <c r="Q729" s="132"/>
      <c r="R729" s="132"/>
      <c r="S729" s="132"/>
      <c r="T729" s="132"/>
      <c r="U729" s="132"/>
      <c r="V729" s="132"/>
      <c r="W729" s="132"/>
      <c r="X729" s="132"/>
      <c r="Y729" s="132"/>
      <c r="Z729" s="132"/>
      <c r="AA729" s="132"/>
      <c r="AB729" s="132"/>
      <c r="AC729" s="132"/>
      <c r="AD729" s="132"/>
      <c r="AE729" s="132"/>
      <c r="AF729" s="132"/>
      <c r="AG729" s="132"/>
      <c r="AH729" s="132"/>
      <c r="AI729" s="132"/>
      <c r="AJ729" s="132"/>
      <c r="AK729" s="132"/>
      <c r="AL729" s="132"/>
      <c r="AM729" s="132"/>
      <c r="AN729" s="132"/>
      <c r="AO729" s="132"/>
      <c r="AP729" s="132"/>
      <c r="AQ729" s="141"/>
      <c r="AR729" s="132"/>
      <c r="AS729" s="132"/>
      <c r="AT729" s="47"/>
      <c r="AU729" s="7"/>
      <c r="AV729" s="134"/>
      <c r="AW729" s="132"/>
      <c r="AX729" s="132"/>
      <c r="AY729" s="132"/>
      <c r="AZ729" s="132"/>
      <c r="BA729" s="10"/>
      <c r="BB729" s="134"/>
      <c r="BC729" s="132"/>
      <c r="BD729" s="132"/>
      <c r="BE729" s="132"/>
      <c r="BF729" s="132"/>
      <c r="BG729" s="11"/>
      <c r="BH729" s="134"/>
      <c r="BI729" s="132"/>
      <c r="BJ729" s="132"/>
      <c r="BK729" s="132"/>
      <c r="BL729" s="132"/>
    </row>
    <row r="730" customFormat="false" ht="13.8" hidden="false" customHeight="false" outlineLevel="0" collapsed="false">
      <c r="A730" s="140"/>
      <c r="B730" s="140"/>
      <c r="C730" s="168"/>
      <c r="D730" s="132"/>
      <c r="E730" s="132"/>
      <c r="F730" s="132"/>
      <c r="G730" s="132"/>
      <c r="H730" s="132"/>
      <c r="I730" s="132"/>
      <c r="J730" s="132"/>
      <c r="K730" s="132"/>
      <c r="L730" s="132"/>
      <c r="M730" s="132"/>
      <c r="N730" s="140"/>
      <c r="O730" s="132"/>
      <c r="P730" s="132"/>
      <c r="Q730" s="132"/>
      <c r="R730" s="132"/>
      <c r="S730" s="132"/>
      <c r="T730" s="132"/>
      <c r="U730" s="132"/>
      <c r="V730" s="132"/>
      <c r="W730" s="132"/>
      <c r="X730" s="132"/>
      <c r="Y730" s="132"/>
      <c r="Z730" s="132"/>
      <c r="AA730" s="132"/>
      <c r="AB730" s="132"/>
      <c r="AC730" s="132"/>
      <c r="AD730" s="132"/>
      <c r="AE730" s="132"/>
      <c r="AF730" s="132"/>
      <c r="AG730" s="132"/>
      <c r="AH730" s="132"/>
      <c r="AI730" s="132"/>
      <c r="AJ730" s="132"/>
      <c r="AK730" s="132"/>
      <c r="AL730" s="132"/>
      <c r="AM730" s="132"/>
      <c r="AN730" s="132"/>
      <c r="AO730" s="132"/>
      <c r="AP730" s="132"/>
      <c r="AQ730" s="141"/>
      <c r="AR730" s="132"/>
      <c r="AS730" s="132"/>
      <c r="AT730" s="47"/>
      <c r="AU730" s="7"/>
      <c r="AV730" s="134"/>
      <c r="AW730" s="132"/>
      <c r="AX730" s="132"/>
      <c r="AY730" s="132"/>
      <c r="AZ730" s="132"/>
      <c r="BA730" s="10"/>
      <c r="BB730" s="134"/>
      <c r="BC730" s="132"/>
      <c r="BD730" s="132"/>
      <c r="BE730" s="132"/>
      <c r="BF730" s="132"/>
      <c r="BG730" s="11"/>
      <c r="BH730" s="134"/>
      <c r="BI730" s="132"/>
      <c r="BJ730" s="132"/>
      <c r="BK730" s="132"/>
      <c r="BL730" s="132"/>
    </row>
    <row r="731" customFormat="false" ht="13.8" hidden="false" customHeight="false" outlineLevel="0" collapsed="false">
      <c r="A731" s="140"/>
      <c r="B731" s="140"/>
      <c r="C731" s="168"/>
      <c r="D731" s="132"/>
      <c r="E731" s="132"/>
      <c r="F731" s="132"/>
      <c r="G731" s="132"/>
      <c r="H731" s="132"/>
      <c r="I731" s="132"/>
      <c r="J731" s="132"/>
      <c r="K731" s="132"/>
      <c r="L731" s="132"/>
      <c r="M731" s="132"/>
      <c r="N731" s="140"/>
      <c r="O731" s="132"/>
      <c r="P731" s="132"/>
      <c r="Q731" s="132"/>
      <c r="R731" s="132"/>
      <c r="S731" s="132"/>
      <c r="T731" s="132"/>
      <c r="U731" s="132"/>
      <c r="V731" s="132"/>
      <c r="W731" s="132"/>
      <c r="X731" s="132"/>
      <c r="Y731" s="132"/>
      <c r="Z731" s="132"/>
      <c r="AA731" s="132"/>
      <c r="AB731" s="132"/>
      <c r="AC731" s="132"/>
      <c r="AD731" s="132"/>
      <c r="AE731" s="132"/>
      <c r="AF731" s="132"/>
      <c r="AG731" s="132"/>
      <c r="AH731" s="132"/>
      <c r="AI731" s="132"/>
      <c r="AJ731" s="132"/>
      <c r="AK731" s="132"/>
      <c r="AL731" s="132"/>
      <c r="AM731" s="132"/>
      <c r="AN731" s="132"/>
      <c r="AO731" s="132"/>
      <c r="AP731" s="132"/>
      <c r="AQ731" s="141"/>
      <c r="AR731" s="132"/>
      <c r="AS731" s="132"/>
      <c r="AT731" s="47"/>
      <c r="AU731" s="7"/>
      <c r="AV731" s="134"/>
      <c r="AW731" s="132"/>
      <c r="AX731" s="132"/>
      <c r="AY731" s="132"/>
      <c r="AZ731" s="132"/>
      <c r="BA731" s="10"/>
      <c r="BB731" s="134"/>
      <c r="BC731" s="132"/>
      <c r="BD731" s="132"/>
      <c r="BE731" s="132"/>
      <c r="BF731" s="132"/>
      <c r="BG731" s="11"/>
      <c r="BH731" s="134"/>
      <c r="BI731" s="132"/>
      <c r="BJ731" s="132"/>
      <c r="BK731" s="132"/>
      <c r="BL731" s="132"/>
    </row>
    <row r="732" customFormat="false" ht="13.8" hidden="false" customHeight="false" outlineLevel="0" collapsed="false">
      <c r="A732" s="140"/>
      <c r="B732" s="140"/>
      <c r="C732" s="168"/>
      <c r="D732" s="132"/>
      <c r="E732" s="132"/>
      <c r="F732" s="132"/>
      <c r="G732" s="132"/>
      <c r="H732" s="132"/>
      <c r="I732" s="132"/>
      <c r="J732" s="132"/>
      <c r="K732" s="132"/>
      <c r="L732" s="132"/>
      <c r="M732" s="132"/>
      <c r="N732" s="140"/>
      <c r="O732" s="132"/>
      <c r="P732" s="132"/>
      <c r="Q732" s="132"/>
      <c r="R732" s="132"/>
      <c r="S732" s="132"/>
      <c r="T732" s="132"/>
      <c r="U732" s="132"/>
      <c r="V732" s="132"/>
      <c r="W732" s="132"/>
      <c r="X732" s="132"/>
      <c r="Y732" s="132"/>
      <c r="Z732" s="132"/>
      <c r="AA732" s="132"/>
      <c r="AB732" s="132"/>
      <c r="AC732" s="132"/>
      <c r="AD732" s="132"/>
      <c r="AE732" s="132"/>
      <c r="AF732" s="132"/>
      <c r="AG732" s="132"/>
      <c r="AH732" s="132"/>
      <c r="AI732" s="132"/>
      <c r="AJ732" s="132"/>
      <c r="AK732" s="132"/>
      <c r="AL732" s="132"/>
      <c r="AM732" s="132"/>
      <c r="AN732" s="132"/>
      <c r="AO732" s="132"/>
      <c r="AP732" s="132"/>
      <c r="AQ732" s="141"/>
      <c r="AR732" s="132"/>
      <c r="AS732" s="132"/>
      <c r="AT732" s="47"/>
      <c r="AU732" s="7"/>
      <c r="AV732" s="134"/>
      <c r="AW732" s="132"/>
      <c r="AX732" s="132"/>
      <c r="AY732" s="132"/>
      <c r="AZ732" s="132"/>
      <c r="BA732" s="10"/>
      <c r="BB732" s="134"/>
      <c r="BC732" s="132"/>
      <c r="BD732" s="132"/>
      <c r="BE732" s="132"/>
      <c r="BF732" s="132"/>
      <c r="BG732" s="11"/>
      <c r="BH732" s="134"/>
      <c r="BI732" s="132"/>
      <c r="BJ732" s="132"/>
      <c r="BK732" s="132"/>
      <c r="BL732" s="132"/>
    </row>
    <row r="733" customFormat="false" ht="13.8" hidden="false" customHeight="false" outlineLevel="0" collapsed="false">
      <c r="A733" s="140"/>
      <c r="B733" s="140"/>
      <c r="C733" s="168"/>
      <c r="D733" s="132"/>
      <c r="E733" s="132"/>
      <c r="F733" s="132"/>
      <c r="G733" s="132"/>
      <c r="H733" s="132"/>
      <c r="I733" s="132"/>
      <c r="J733" s="132"/>
      <c r="K733" s="132"/>
      <c r="L733" s="132"/>
      <c r="M733" s="132"/>
      <c r="N733" s="140"/>
      <c r="O733" s="132"/>
      <c r="P733" s="132"/>
      <c r="Q733" s="132"/>
      <c r="R733" s="132"/>
      <c r="S733" s="132"/>
      <c r="T733" s="132"/>
      <c r="U733" s="132"/>
      <c r="V733" s="132"/>
      <c r="W733" s="132"/>
      <c r="X733" s="132"/>
      <c r="Y733" s="132"/>
      <c r="Z733" s="132"/>
      <c r="AA733" s="132"/>
      <c r="AB733" s="132"/>
      <c r="AC733" s="132"/>
      <c r="AD733" s="132"/>
      <c r="AE733" s="132"/>
      <c r="AF733" s="132"/>
      <c r="AG733" s="132"/>
      <c r="AH733" s="132"/>
      <c r="AI733" s="132"/>
      <c r="AJ733" s="132"/>
      <c r="AK733" s="132"/>
      <c r="AL733" s="132"/>
      <c r="AM733" s="132"/>
      <c r="AN733" s="132"/>
      <c r="AO733" s="132"/>
      <c r="AP733" s="132"/>
      <c r="AQ733" s="141"/>
      <c r="AR733" s="132"/>
      <c r="AS733" s="132"/>
      <c r="AT733" s="47"/>
      <c r="AU733" s="7"/>
      <c r="AV733" s="134"/>
      <c r="AW733" s="132"/>
      <c r="AX733" s="132"/>
      <c r="AY733" s="132"/>
      <c r="AZ733" s="132"/>
      <c r="BA733" s="10"/>
      <c r="BB733" s="134"/>
      <c r="BC733" s="132"/>
      <c r="BD733" s="132"/>
      <c r="BE733" s="132"/>
      <c r="BF733" s="132"/>
      <c r="BG733" s="11"/>
      <c r="BH733" s="134"/>
      <c r="BI733" s="132"/>
      <c r="BJ733" s="132"/>
      <c r="BK733" s="132"/>
      <c r="BL733" s="132"/>
    </row>
    <row r="734" customFormat="false" ht="13.8" hidden="false" customHeight="false" outlineLevel="0" collapsed="false">
      <c r="A734" s="140"/>
      <c r="B734" s="140"/>
      <c r="C734" s="168"/>
      <c r="D734" s="132"/>
      <c r="E734" s="132"/>
      <c r="F734" s="132"/>
      <c r="G734" s="132"/>
      <c r="H734" s="132"/>
      <c r="I734" s="132"/>
      <c r="J734" s="132"/>
      <c r="K734" s="132"/>
      <c r="L734" s="132"/>
      <c r="M734" s="132"/>
      <c r="N734" s="140"/>
      <c r="O734" s="132"/>
      <c r="P734" s="132"/>
      <c r="Q734" s="132"/>
      <c r="R734" s="132"/>
      <c r="S734" s="132"/>
      <c r="T734" s="132"/>
      <c r="U734" s="132"/>
      <c r="V734" s="132"/>
      <c r="W734" s="132"/>
      <c r="X734" s="132"/>
      <c r="Y734" s="132"/>
      <c r="Z734" s="132"/>
      <c r="AA734" s="132"/>
      <c r="AB734" s="132"/>
      <c r="AC734" s="132"/>
      <c r="AD734" s="132"/>
      <c r="AE734" s="132"/>
      <c r="AF734" s="132"/>
      <c r="AG734" s="132"/>
      <c r="AH734" s="132"/>
      <c r="AI734" s="132"/>
      <c r="AJ734" s="132"/>
      <c r="AK734" s="132"/>
      <c r="AL734" s="132"/>
      <c r="AM734" s="132"/>
      <c r="AN734" s="132"/>
      <c r="AO734" s="132"/>
      <c r="AP734" s="132"/>
      <c r="AQ734" s="141"/>
      <c r="AR734" s="132"/>
      <c r="AS734" s="132"/>
      <c r="AT734" s="47"/>
      <c r="AU734" s="7"/>
      <c r="AV734" s="134"/>
      <c r="AW734" s="132"/>
      <c r="AX734" s="132"/>
      <c r="AY734" s="132"/>
      <c r="AZ734" s="132"/>
      <c r="BA734" s="10"/>
      <c r="BB734" s="134"/>
      <c r="BC734" s="132"/>
      <c r="BD734" s="132"/>
      <c r="BE734" s="132"/>
      <c r="BF734" s="132"/>
      <c r="BG734" s="11"/>
      <c r="BH734" s="134"/>
      <c r="BI734" s="132"/>
      <c r="BJ734" s="132"/>
      <c r="BK734" s="132"/>
      <c r="BL734" s="132"/>
    </row>
    <row r="735" customFormat="false" ht="13.8" hidden="false" customHeight="false" outlineLevel="0" collapsed="false">
      <c r="A735" s="140"/>
      <c r="B735" s="140"/>
      <c r="C735" s="168"/>
      <c r="D735" s="132"/>
      <c r="E735" s="132"/>
      <c r="F735" s="132"/>
      <c r="G735" s="132"/>
      <c r="H735" s="132"/>
      <c r="I735" s="132"/>
      <c r="J735" s="132"/>
      <c r="K735" s="132"/>
      <c r="L735" s="132"/>
      <c r="M735" s="132"/>
      <c r="N735" s="140"/>
      <c r="O735" s="132"/>
      <c r="P735" s="132"/>
      <c r="Q735" s="132"/>
      <c r="R735" s="132"/>
      <c r="S735" s="132"/>
      <c r="T735" s="132"/>
      <c r="U735" s="132"/>
      <c r="V735" s="132"/>
      <c r="W735" s="132"/>
      <c r="X735" s="132"/>
      <c r="Y735" s="132"/>
      <c r="Z735" s="132"/>
      <c r="AA735" s="132"/>
      <c r="AB735" s="132"/>
      <c r="AC735" s="132"/>
      <c r="AD735" s="132"/>
      <c r="AE735" s="132"/>
      <c r="AF735" s="132"/>
      <c r="AG735" s="132"/>
      <c r="AH735" s="132"/>
      <c r="AI735" s="132"/>
      <c r="AJ735" s="132"/>
      <c r="AK735" s="132"/>
      <c r="AL735" s="132"/>
      <c r="AM735" s="132"/>
      <c r="AN735" s="132"/>
      <c r="AO735" s="132"/>
      <c r="AP735" s="132"/>
      <c r="AQ735" s="141"/>
      <c r="AR735" s="132"/>
      <c r="AS735" s="132"/>
      <c r="AT735" s="47"/>
      <c r="AU735" s="7"/>
      <c r="AV735" s="134"/>
      <c r="AW735" s="132"/>
      <c r="AX735" s="132"/>
      <c r="AY735" s="132"/>
      <c r="AZ735" s="132"/>
      <c r="BA735" s="10"/>
      <c r="BB735" s="134"/>
      <c r="BC735" s="132"/>
      <c r="BD735" s="132"/>
      <c r="BE735" s="132"/>
      <c r="BF735" s="132"/>
      <c r="BG735" s="11"/>
      <c r="BH735" s="134"/>
      <c r="BI735" s="132"/>
      <c r="BJ735" s="132"/>
      <c r="BK735" s="132"/>
      <c r="BL735" s="132"/>
    </row>
    <row r="736" customFormat="false" ht="13.8" hidden="false" customHeight="false" outlineLevel="0" collapsed="false">
      <c r="A736" s="140"/>
      <c r="B736" s="140"/>
      <c r="C736" s="168"/>
      <c r="D736" s="132"/>
      <c r="E736" s="132"/>
      <c r="F736" s="132"/>
      <c r="G736" s="132"/>
      <c r="H736" s="132"/>
      <c r="I736" s="132"/>
      <c r="J736" s="132"/>
      <c r="K736" s="132"/>
      <c r="L736" s="132"/>
      <c r="M736" s="132"/>
      <c r="N736" s="140"/>
      <c r="O736" s="132"/>
      <c r="P736" s="132"/>
      <c r="Q736" s="132"/>
      <c r="R736" s="132"/>
      <c r="S736" s="132"/>
      <c r="T736" s="132"/>
      <c r="U736" s="132"/>
      <c r="V736" s="132"/>
      <c r="W736" s="132"/>
      <c r="X736" s="132"/>
      <c r="Y736" s="132"/>
      <c r="Z736" s="132"/>
      <c r="AA736" s="132"/>
      <c r="AB736" s="132"/>
      <c r="AC736" s="132"/>
      <c r="AD736" s="132"/>
      <c r="AE736" s="132"/>
      <c r="AF736" s="132"/>
      <c r="AG736" s="132"/>
      <c r="AH736" s="132"/>
      <c r="AI736" s="132"/>
      <c r="AJ736" s="132"/>
      <c r="AK736" s="132"/>
      <c r="AL736" s="132"/>
      <c r="AM736" s="132"/>
      <c r="AN736" s="132"/>
      <c r="AO736" s="132"/>
      <c r="AP736" s="132"/>
      <c r="AQ736" s="141"/>
      <c r="AR736" s="132"/>
      <c r="AS736" s="132"/>
      <c r="AT736" s="47"/>
      <c r="AU736" s="7"/>
      <c r="AV736" s="134"/>
      <c r="AW736" s="132"/>
      <c r="AX736" s="132"/>
      <c r="AY736" s="132"/>
      <c r="AZ736" s="132"/>
      <c r="BA736" s="10"/>
      <c r="BB736" s="134"/>
      <c r="BC736" s="132"/>
      <c r="BD736" s="132"/>
      <c r="BE736" s="132"/>
      <c r="BF736" s="132"/>
      <c r="BG736" s="11"/>
      <c r="BH736" s="134"/>
      <c r="BI736" s="132"/>
      <c r="BJ736" s="132"/>
      <c r="BK736" s="132"/>
      <c r="BL736" s="132"/>
    </row>
    <row r="737" customFormat="false" ht="13.8" hidden="false" customHeight="false" outlineLevel="0" collapsed="false">
      <c r="A737" s="140"/>
      <c r="B737" s="140"/>
      <c r="C737" s="168"/>
      <c r="D737" s="132"/>
      <c r="E737" s="132"/>
      <c r="F737" s="132"/>
      <c r="G737" s="132"/>
      <c r="H737" s="132"/>
      <c r="I737" s="132"/>
      <c r="J737" s="132"/>
      <c r="K737" s="132"/>
      <c r="L737" s="132"/>
      <c r="M737" s="132"/>
      <c r="N737" s="140"/>
      <c r="O737" s="132"/>
      <c r="P737" s="132"/>
      <c r="Q737" s="132"/>
      <c r="R737" s="132"/>
      <c r="S737" s="132"/>
      <c r="T737" s="132"/>
      <c r="U737" s="132"/>
      <c r="V737" s="132"/>
      <c r="W737" s="132"/>
      <c r="X737" s="132"/>
      <c r="Y737" s="132"/>
      <c r="Z737" s="132"/>
      <c r="AA737" s="132"/>
      <c r="AB737" s="132"/>
      <c r="AC737" s="132"/>
      <c r="AD737" s="132"/>
      <c r="AE737" s="132"/>
      <c r="AF737" s="132"/>
      <c r="AG737" s="132"/>
      <c r="AH737" s="132"/>
      <c r="AI737" s="132"/>
      <c r="AJ737" s="132"/>
      <c r="AK737" s="132"/>
      <c r="AL737" s="132"/>
      <c r="AM737" s="132"/>
      <c r="AN737" s="132"/>
      <c r="AO737" s="132"/>
      <c r="AP737" s="132"/>
      <c r="AQ737" s="141"/>
      <c r="AR737" s="132"/>
      <c r="AS737" s="132"/>
      <c r="AT737" s="47"/>
      <c r="AU737" s="7"/>
      <c r="AV737" s="134"/>
      <c r="AW737" s="132"/>
      <c r="AX737" s="132"/>
      <c r="AY737" s="132"/>
      <c r="AZ737" s="132"/>
      <c r="BA737" s="10"/>
      <c r="BB737" s="134"/>
      <c r="BC737" s="132"/>
      <c r="BD737" s="132"/>
      <c r="BE737" s="132"/>
      <c r="BF737" s="132"/>
      <c r="BG737" s="11"/>
      <c r="BH737" s="134"/>
      <c r="BI737" s="132"/>
      <c r="BJ737" s="132"/>
      <c r="BK737" s="132"/>
      <c r="BL737" s="132"/>
    </row>
    <row r="738" customFormat="false" ht="13.8" hidden="false" customHeight="false" outlineLevel="0" collapsed="false">
      <c r="A738" s="140"/>
      <c r="B738" s="140"/>
      <c r="C738" s="168"/>
      <c r="D738" s="132"/>
      <c r="E738" s="132"/>
      <c r="F738" s="132"/>
      <c r="G738" s="132"/>
      <c r="H738" s="132"/>
      <c r="I738" s="132"/>
      <c r="J738" s="132"/>
      <c r="K738" s="132"/>
      <c r="L738" s="132"/>
      <c r="M738" s="132"/>
      <c r="N738" s="140"/>
      <c r="O738" s="132"/>
      <c r="P738" s="132"/>
      <c r="Q738" s="132"/>
      <c r="R738" s="132"/>
      <c r="S738" s="132"/>
      <c r="T738" s="132"/>
      <c r="U738" s="132"/>
      <c r="V738" s="132"/>
      <c r="W738" s="132"/>
      <c r="X738" s="132"/>
      <c r="Y738" s="132"/>
      <c r="Z738" s="132"/>
      <c r="AA738" s="132"/>
      <c r="AB738" s="132"/>
      <c r="AC738" s="132"/>
      <c r="AD738" s="132"/>
      <c r="AE738" s="132"/>
      <c r="AF738" s="132"/>
      <c r="AG738" s="132"/>
      <c r="AH738" s="132"/>
      <c r="AI738" s="132"/>
      <c r="AJ738" s="132"/>
      <c r="AK738" s="132"/>
      <c r="AL738" s="132"/>
      <c r="AM738" s="132"/>
      <c r="AN738" s="132"/>
      <c r="AO738" s="132"/>
      <c r="AP738" s="132"/>
      <c r="AQ738" s="141"/>
      <c r="AR738" s="132"/>
      <c r="AS738" s="132"/>
      <c r="AT738" s="47"/>
      <c r="AU738" s="7"/>
      <c r="AV738" s="134"/>
      <c r="AW738" s="132"/>
      <c r="AX738" s="132"/>
      <c r="AY738" s="132"/>
      <c r="AZ738" s="132"/>
      <c r="BA738" s="10"/>
      <c r="BB738" s="134"/>
      <c r="BC738" s="132"/>
      <c r="BD738" s="132"/>
      <c r="BE738" s="132"/>
      <c r="BF738" s="132"/>
      <c r="BG738" s="11"/>
      <c r="BH738" s="134"/>
      <c r="BI738" s="132"/>
      <c r="BJ738" s="132"/>
      <c r="BK738" s="132"/>
      <c r="BL738" s="132"/>
    </row>
    <row r="739" customFormat="false" ht="13.8" hidden="false" customHeight="false" outlineLevel="0" collapsed="false">
      <c r="A739" s="140"/>
      <c r="B739" s="140"/>
      <c r="C739" s="168"/>
      <c r="D739" s="132"/>
      <c r="E739" s="132"/>
      <c r="F739" s="132"/>
      <c r="G739" s="132"/>
      <c r="H739" s="132"/>
      <c r="I739" s="132"/>
      <c r="J739" s="132"/>
      <c r="K739" s="132"/>
      <c r="L739" s="132"/>
      <c r="M739" s="132"/>
      <c r="N739" s="140"/>
      <c r="O739" s="132"/>
      <c r="P739" s="132"/>
      <c r="Q739" s="132"/>
      <c r="R739" s="132"/>
      <c r="S739" s="132"/>
      <c r="T739" s="132"/>
      <c r="U739" s="132"/>
      <c r="V739" s="132"/>
      <c r="W739" s="132"/>
      <c r="X739" s="132"/>
      <c r="Y739" s="132"/>
      <c r="Z739" s="132"/>
      <c r="AA739" s="132"/>
      <c r="AB739" s="132"/>
      <c r="AC739" s="132"/>
      <c r="AD739" s="132"/>
      <c r="AE739" s="132"/>
      <c r="AF739" s="132"/>
      <c r="AG739" s="132"/>
      <c r="AH739" s="132"/>
      <c r="AI739" s="132"/>
      <c r="AJ739" s="132"/>
      <c r="AK739" s="132"/>
      <c r="AL739" s="132"/>
      <c r="AM739" s="132"/>
      <c r="AN739" s="132"/>
      <c r="AO739" s="132"/>
      <c r="AP739" s="132"/>
      <c r="AQ739" s="141"/>
      <c r="AR739" s="132"/>
      <c r="AS739" s="132"/>
      <c r="AT739" s="47"/>
      <c r="AU739" s="7"/>
      <c r="AV739" s="134"/>
      <c r="AW739" s="132"/>
      <c r="AX739" s="132"/>
      <c r="AY739" s="132"/>
      <c r="AZ739" s="132"/>
      <c r="BA739" s="10"/>
      <c r="BB739" s="134"/>
      <c r="BC739" s="132"/>
      <c r="BD739" s="132"/>
      <c r="BE739" s="132"/>
      <c r="BF739" s="132"/>
      <c r="BG739" s="11"/>
      <c r="BH739" s="134"/>
      <c r="BI739" s="132"/>
      <c r="BJ739" s="132"/>
      <c r="BK739" s="132"/>
      <c r="BL739" s="132"/>
    </row>
    <row r="740" customFormat="false" ht="13.8" hidden="false" customHeight="false" outlineLevel="0" collapsed="false">
      <c r="A740" s="140"/>
      <c r="B740" s="140"/>
      <c r="C740" s="168"/>
      <c r="D740" s="132"/>
      <c r="E740" s="132"/>
      <c r="F740" s="132"/>
      <c r="G740" s="132"/>
      <c r="H740" s="132"/>
      <c r="I740" s="132"/>
      <c r="J740" s="132"/>
      <c r="K740" s="132"/>
      <c r="L740" s="132"/>
      <c r="M740" s="132"/>
      <c r="N740" s="140"/>
      <c r="O740" s="132"/>
      <c r="P740" s="132"/>
      <c r="Q740" s="132"/>
      <c r="R740" s="132"/>
      <c r="S740" s="132"/>
      <c r="T740" s="132"/>
      <c r="U740" s="132"/>
      <c r="V740" s="132"/>
      <c r="W740" s="132"/>
      <c r="X740" s="132"/>
      <c r="Y740" s="132"/>
      <c r="Z740" s="132"/>
      <c r="AA740" s="132"/>
      <c r="AB740" s="132"/>
      <c r="AC740" s="132"/>
      <c r="AD740" s="132"/>
      <c r="AE740" s="132"/>
      <c r="AF740" s="132"/>
      <c r="AG740" s="132"/>
      <c r="AH740" s="132"/>
      <c r="AI740" s="132"/>
      <c r="AJ740" s="132"/>
      <c r="AK740" s="132"/>
      <c r="AL740" s="132"/>
      <c r="AM740" s="132"/>
      <c r="AN740" s="132"/>
      <c r="AO740" s="132"/>
      <c r="AP740" s="132"/>
      <c r="AQ740" s="141"/>
      <c r="AR740" s="132"/>
      <c r="AS740" s="132"/>
      <c r="AT740" s="47"/>
      <c r="AU740" s="7"/>
      <c r="AV740" s="134"/>
      <c r="AW740" s="132"/>
      <c r="AX740" s="132"/>
      <c r="AY740" s="132"/>
      <c r="AZ740" s="132"/>
      <c r="BA740" s="10"/>
      <c r="BB740" s="134"/>
      <c r="BC740" s="132"/>
      <c r="BD740" s="132"/>
      <c r="BE740" s="132"/>
      <c r="BF740" s="132"/>
      <c r="BG740" s="11"/>
      <c r="BH740" s="134"/>
      <c r="BI740" s="132"/>
      <c r="BJ740" s="132"/>
      <c r="BK740" s="132"/>
      <c r="BL740" s="132"/>
    </row>
    <row r="741" customFormat="false" ht="13.8" hidden="false" customHeight="false" outlineLevel="0" collapsed="false">
      <c r="A741" s="140"/>
      <c r="B741" s="140"/>
      <c r="C741" s="168"/>
      <c r="D741" s="132"/>
      <c r="E741" s="132"/>
      <c r="F741" s="132"/>
      <c r="G741" s="132"/>
      <c r="H741" s="132"/>
      <c r="I741" s="132"/>
      <c r="J741" s="132"/>
      <c r="K741" s="132"/>
      <c r="L741" s="132"/>
      <c r="M741" s="132"/>
      <c r="N741" s="140"/>
      <c r="O741" s="132"/>
      <c r="P741" s="132"/>
      <c r="Q741" s="132"/>
      <c r="R741" s="132"/>
      <c r="S741" s="132"/>
      <c r="T741" s="132"/>
      <c r="U741" s="132"/>
      <c r="V741" s="132"/>
      <c r="W741" s="132"/>
      <c r="X741" s="132"/>
      <c r="Y741" s="132"/>
      <c r="Z741" s="132"/>
      <c r="AA741" s="132"/>
      <c r="AB741" s="132"/>
      <c r="AC741" s="132"/>
      <c r="AD741" s="132"/>
      <c r="AE741" s="132"/>
      <c r="AF741" s="132"/>
      <c r="AG741" s="132"/>
      <c r="AH741" s="132"/>
      <c r="AI741" s="132"/>
      <c r="AJ741" s="132"/>
      <c r="AK741" s="132"/>
      <c r="AL741" s="132"/>
      <c r="AM741" s="132"/>
      <c r="AN741" s="132"/>
      <c r="AO741" s="132"/>
      <c r="AP741" s="132"/>
      <c r="AQ741" s="141"/>
      <c r="AR741" s="132"/>
      <c r="AS741" s="132"/>
      <c r="AT741" s="47"/>
      <c r="AU741" s="7"/>
      <c r="AV741" s="134"/>
      <c r="AW741" s="132"/>
      <c r="AX741" s="132"/>
      <c r="AY741" s="132"/>
      <c r="AZ741" s="132"/>
      <c r="BA741" s="10"/>
      <c r="BB741" s="134"/>
      <c r="BC741" s="132"/>
      <c r="BD741" s="132"/>
      <c r="BE741" s="132"/>
      <c r="BF741" s="132"/>
      <c r="BG741" s="11"/>
      <c r="BH741" s="134"/>
      <c r="BI741" s="132"/>
      <c r="BJ741" s="132"/>
      <c r="BK741" s="132"/>
      <c r="BL741" s="132"/>
    </row>
    <row r="742" customFormat="false" ht="13.8" hidden="false" customHeight="false" outlineLevel="0" collapsed="false">
      <c r="A742" s="140"/>
      <c r="B742" s="140"/>
      <c r="C742" s="168"/>
      <c r="D742" s="132"/>
      <c r="E742" s="132"/>
      <c r="F742" s="132"/>
      <c r="G742" s="132"/>
      <c r="H742" s="132"/>
      <c r="I742" s="132"/>
      <c r="J742" s="132"/>
      <c r="K742" s="132"/>
      <c r="L742" s="132"/>
      <c r="M742" s="132"/>
      <c r="N742" s="140"/>
      <c r="O742" s="132"/>
      <c r="P742" s="132"/>
      <c r="Q742" s="132"/>
      <c r="R742" s="132"/>
      <c r="S742" s="132"/>
      <c r="T742" s="132"/>
      <c r="U742" s="132"/>
      <c r="V742" s="132"/>
      <c r="W742" s="132"/>
      <c r="X742" s="132"/>
      <c r="Y742" s="132"/>
      <c r="Z742" s="132"/>
      <c r="AA742" s="132"/>
      <c r="AB742" s="132"/>
      <c r="AC742" s="132"/>
      <c r="AD742" s="132"/>
      <c r="AE742" s="132"/>
      <c r="AF742" s="132"/>
      <c r="AG742" s="132"/>
      <c r="AH742" s="132"/>
      <c r="AI742" s="132"/>
      <c r="AJ742" s="132"/>
      <c r="AK742" s="132"/>
      <c r="AL742" s="132"/>
      <c r="AM742" s="132"/>
      <c r="AN742" s="132"/>
      <c r="AO742" s="132"/>
      <c r="AP742" s="132"/>
      <c r="AQ742" s="141"/>
      <c r="AR742" s="132"/>
      <c r="AS742" s="132"/>
      <c r="AT742" s="47"/>
      <c r="AU742" s="7"/>
      <c r="AV742" s="134"/>
      <c r="AW742" s="132"/>
      <c r="AX742" s="132"/>
      <c r="AY742" s="132"/>
      <c r="AZ742" s="132"/>
      <c r="BA742" s="10"/>
      <c r="BB742" s="134"/>
      <c r="BC742" s="132"/>
      <c r="BD742" s="132"/>
      <c r="BE742" s="132"/>
      <c r="BF742" s="132"/>
      <c r="BG742" s="11"/>
      <c r="BH742" s="134"/>
      <c r="BI742" s="132"/>
      <c r="BJ742" s="132"/>
      <c r="BK742" s="132"/>
      <c r="BL742" s="132"/>
    </row>
    <row r="743" customFormat="false" ht="13.8" hidden="false" customHeight="false" outlineLevel="0" collapsed="false">
      <c r="A743" s="140"/>
      <c r="B743" s="140"/>
      <c r="C743" s="168"/>
      <c r="D743" s="132"/>
      <c r="E743" s="132"/>
      <c r="F743" s="132"/>
      <c r="G743" s="132"/>
      <c r="H743" s="132"/>
      <c r="I743" s="132"/>
      <c r="J743" s="132"/>
      <c r="K743" s="132"/>
      <c r="L743" s="132"/>
      <c r="M743" s="132"/>
      <c r="N743" s="140"/>
      <c r="O743" s="132"/>
      <c r="P743" s="132"/>
      <c r="Q743" s="132"/>
      <c r="R743" s="132"/>
      <c r="S743" s="132"/>
      <c r="T743" s="132"/>
      <c r="U743" s="132"/>
      <c r="V743" s="132"/>
      <c r="W743" s="132"/>
      <c r="X743" s="132"/>
      <c r="Y743" s="132"/>
      <c r="Z743" s="132"/>
      <c r="AA743" s="132"/>
      <c r="AB743" s="132"/>
      <c r="AC743" s="132"/>
      <c r="AD743" s="132"/>
      <c r="AE743" s="132"/>
      <c r="AF743" s="132"/>
      <c r="AG743" s="132"/>
      <c r="AH743" s="132"/>
      <c r="AI743" s="132"/>
      <c r="AJ743" s="132"/>
      <c r="AK743" s="132"/>
      <c r="AL743" s="132"/>
      <c r="AM743" s="132"/>
      <c r="AN743" s="132"/>
      <c r="AO743" s="132"/>
      <c r="AP743" s="132"/>
      <c r="AQ743" s="141"/>
      <c r="AR743" s="132"/>
      <c r="AS743" s="132"/>
      <c r="AT743" s="47"/>
      <c r="AU743" s="7"/>
      <c r="AV743" s="134"/>
      <c r="AW743" s="132"/>
      <c r="AX743" s="132"/>
      <c r="AY743" s="132"/>
      <c r="AZ743" s="132"/>
      <c r="BA743" s="10"/>
      <c r="BB743" s="134"/>
      <c r="BC743" s="132"/>
      <c r="BD743" s="132"/>
      <c r="BE743" s="132"/>
      <c r="BF743" s="132"/>
      <c r="BG743" s="11"/>
      <c r="BH743" s="134"/>
      <c r="BI743" s="132"/>
      <c r="BJ743" s="132"/>
      <c r="BK743" s="132"/>
      <c r="BL743" s="132"/>
    </row>
    <row r="744" customFormat="false" ht="13.8" hidden="false" customHeight="false" outlineLevel="0" collapsed="false">
      <c r="A744" s="140"/>
      <c r="B744" s="140"/>
      <c r="C744" s="168"/>
      <c r="D744" s="132"/>
      <c r="E744" s="132"/>
      <c r="F744" s="132"/>
      <c r="G744" s="132"/>
      <c r="H744" s="132"/>
      <c r="I744" s="132"/>
      <c r="J744" s="132"/>
      <c r="K744" s="132"/>
      <c r="L744" s="132"/>
      <c r="M744" s="132"/>
      <c r="N744" s="140"/>
      <c r="O744" s="132"/>
      <c r="P744" s="132"/>
      <c r="Q744" s="132"/>
      <c r="R744" s="132"/>
      <c r="S744" s="132"/>
      <c r="T744" s="132"/>
      <c r="U744" s="132"/>
      <c r="V744" s="132"/>
      <c r="W744" s="132"/>
      <c r="X744" s="132"/>
      <c r="Y744" s="132"/>
      <c r="Z744" s="132"/>
      <c r="AA744" s="132"/>
      <c r="AB744" s="132"/>
      <c r="AC744" s="132"/>
      <c r="AD744" s="132"/>
      <c r="AE744" s="132"/>
      <c r="AF744" s="132"/>
      <c r="AG744" s="132"/>
      <c r="AH744" s="132"/>
      <c r="AI744" s="132"/>
      <c r="AJ744" s="132"/>
      <c r="AK744" s="132"/>
      <c r="AL744" s="132"/>
      <c r="AM744" s="132"/>
      <c r="AN744" s="132"/>
      <c r="AO744" s="132"/>
      <c r="AP744" s="132"/>
      <c r="AQ744" s="141"/>
      <c r="AR744" s="132"/>
      <c r="AS744" s="132"/>
      <c r="AT744" s="47"/>
      <c r="AU744" s="7"/>
      <c r="AV744" s="134"/>
      <c r="AW744" s="132"/>
      <c r="AX744" s="132"/>
      <c r="AY744" s="132"/>
      <c r="AZ744" s="132"/>
      <c r="BA744" s="10"/>
      <c r="BB744" s="134"/>
      <c r="BC744" s="132"/>
      <c r="BD744" s="132"/>
      <c r="BE744" s="132"/>
      <c r="BF744" s="132"/>
      <c r="BG744" s="11"/>
      <c r="BH744" s="134"/>
      <c r="BI744" s="132"/>
      <c r="BJ744" s="132"/>
      <c r="BK744" s="132"/>
      <c r="BL744" s="132"/>
    </row>
    <row r="745" customFormat="false" ht="13.8" hidden="false" customHeight="false" outlineLevel="0" collapsed="false">
      <c r="A745" s="140"/>
      <c r="B745" s="140"/>
      <c r="C745" s="168"/>
      <c r="D745" s="132"/>
      <c r="E745" s="132"/>
      <c r="F745" s="132"/>
      <c r="G745" s="132"/>
      <c r="H745" s="132"/>
      <c r="I745" s="132"/>
      <c r="J745" s="132"/>
      <c r="K745" s="132"/>
      <c r="L745" s="132"/>
      <c r="M745" s="132"/>
      <c r="N745" s="140"/>
      <c r="O745" s="132"/>
      <c r="P745" s="132"/>
      <c r="Q745" s="132"/>
      <c r="R745" s="132"/>
      <c r="S745" s="132"/>
      <c r="T745" s="132"/>
      <c r="U745" s="132"/>
      <c r="V745" s="132"/>
      <c r="W745" s="132"/>
      <c r="X745" s="132"/>
      <c r="Y745" s="132"/>
      <c r="Z745" s="132"/>
      <c r="AA745" s="132"/>
      <c r="AB745" s="132"/>
      <c r="AC745" s="132"/>
      <c r="AD745" s="132"/>
      <c r="AE745" s="132"/>
      <c r="AF745" s="132"/>
      <c r="AG745" s="132"/>
      <c r="AH745" s="132"/>
      <c r="AI745" s="132"/>
      <c r="AJ745" s="132"/>
      <c r="AK745" s="132"/>
      <c r="AL745" s="132"/>
      <c r="AM745" s="132"/>
      <c r="AN745" s="132"/>
      <c r="AO745" s="132"/>
      <c r="AP745" s="132"/>
      <c r="AQ745" s="141"/>
      <c r="AR745" s="132"/>
      <c r="AS745" s="132"/>
      <c r="AT745" s="47"/>
      <c r="AU745" s="7"/>
      <c r="AV745" s="134"/>
      <c r="AW745" s="132"/>
      <c r="AX745" s="132"/>
      <c r="AY745" s="132"/>
      <c r="AZ745" s="132"/>
      <c r="BA745" s="10"/>
      <c r="BB745" s="134"/>
      <c r="BC745" s="132"/>
      <c r="BD745" s="132"/>
      <c r="BE745" s="132"/>
      <c r="BF745" s="132"/>
      <c r="BG745" s="11"/>
      <c r="BH745" s="134"/>
      <c r="BI745" s="132"/>
      <c r="BJ745" s="132"/>
      <c r="BK745" s="132"/>
      <c r="BL745" s="132"/>
    </row>
    <row r="746" customFormat="false" ht="13.8" hidden="false" customHeight="false" outlineLevel="0" collapsed="false">
      <c r="A746" s="140"/>
      <c r="B746" s="140"/>
      <c r="C746" s="168"/>
      <c r="D746" s="132"/>
      <c r="E746" s="132"/>
      <c r="F746" s="132"/>
      <c r="G746" s="132"/>
      <c r="H746" s="132"/>
      <c r="I746" s="132"/>
      <c r="J746" s="132"/>
      <c r="K746" s="132"/>
      <c r="L746" s="132"/>
      <c r="M746" s="132"/>
      <c r="N746" s="140"/>
      <c r="O746" s="132"/>
      <c r="P746" s="132"/>
      <c r="Q746" s="132"/>
      <c r="R746" s="132"/>
      <c r="S746" s="132"/>
      <c r="T746" s="132"/>
      <c r="U746" s="132"/>
      <c r="V746" s="132"/>
      <c r="W746" s="132"/>
      <c r="X746" s="132"/>
      <c r="Y746" s="132"/>
      <c r="Z746" s="132"/>
      <c r="AA746" s="132"/>
      <c r="AB746" s="132"/>
      <c r="AC746" s="132"/>
      <c r="AD746" s="132"/>
      <c r="AE746" s="132"/>
      <c r="AF746" s="132"/>
      <c r="AG746" s="132"/>
      <c r="AH746" s="132"/>
      <c r="AI746" s="132"/>
      <c r="AJ746" s="132"/>
      <c r="AK746" s="132"/>
      <c r="AL746" s="132"/>
      <c r="AM746" s="132"/>
      <c r="AN746" s="132"/>
      <c r="AO746" s="132"/>
      <c r="AP746" s="132"/>
      <c r="AQ746" s="141"/>
      <c r="AR746" s="132"/>
      <c r="AS746" s="132"/>
      <c r="AT746" s="47"/>
      <c r="AU746" s="7"/>
      <c r="AV746" s="134"/>
      <c r="AW746" s="132"/>
      <c r="AX746" s="132"/>
      <c r="AY746" s="132"/>
      <c r="AZ746" s="132"/>
      <c r="BA746" s="10"/>
      <c r="BB746" s="134"/>
      <c r="BC746" s="132"/>
      <c r="BD746" s="132"/>
      <c r="BE746" s="132"/>
      <c r="BF746" s="132"/>
      <c r="BG746" s="11"/>
      <c r="BH746" s="134"/>
      <c r="BI746" s="132"/>
      <c r="BJ746" s="132"/>
      <c r="BK746" s="132"/>
      <c r="BL746" s="132"/>
    </row>
    <row r="747" customFormat="false" ht="13.8" hidden="false" customHeight="false" outlineLevel="0" collapsed="false">
      <c r="A747" s="140"/>
      <c r="B747" s="140"/>
      <c r="C747" s="168"/>
      <c r="D747" s="132"/>
      <c r="E747" s="132"/>
      <c r="F747" s="132"/>
      <c r="G747" s="132"/>
      <c r="H747" s="132"/>
      <c r="I747" s="132"/>
      <c r="J747" s="132"/>
      <c r="K747" s="132"/>
      <c r="L747" s="132"/>
      <c r="M747" s="132"/>
      <c r="N747" s="140"/>
      <c r="O747" s="132"/>
      <c r="P747" s="132"/>
      <c r="Q747" s="132"/>
      <c r="R747" s="132"/>
      <c r="S747" s="132"/>
      <c r="T747" s="132"/>
      <c r="U747" s="132"/>
      <c r="V747" s="132"/>
      <c r="W747" s="132"/>
      <c r="X747" s="132"/>
      <c r="Y747" s="132"/>
      <c r="Z747" s="132"/>
      <c r="AA747" s="132"/>
      <c r="AB747" s="132"/>
      <c r="AC747" s="132"/>
      <c r="AD747" s="132"/>
      <c r="AE747" s="132"/>
      <c r="AF747" s="132"/>
      <c r="AG747" s="132"/>
      <c r="AH747" s="132"/>
      <c r="AI747" s="132"/>
      <c r="AJ747" s="132"/>
      <c r="AK747" s="132"/>
      <c r="AL747" s="132"/>
      <c r="AM747" s="132"/>
      <c r="AN747" s="132"/>
      <c r="AO747" s="132"/>
      <c r="AP747" s="132"/>
      <c r="AQ747" s="141"/>
      <c r="AR747" s="132"/>
      <c r="AS747" s="132"/>
      <c r="AT747" s="47"/>
      <c r="AU747" s="7"/>
      <c r="AV747" s="134"/>
      <c r="AW747" s="132"/>
      <c r="AX747" s="132"/>
      <c r="AY747" s="132"/>
      <c r="AZ747" s="132"/>
      <c r="BA747" s="10"/>
      <c r="BB747" s="134"/>
      <c r="BC747" s="132"/>
      <c r="BD747" s="132"/>
      <c r="BE747" s="132"/>
      <c r="BF747" s="132"/>
      <c r="BG747" s="11"/>
      <c r="BH747" s="134"/>
      <c r="BI747" s="132"/>
      <c r="BJ747" s="132"/>
      <c r="BK747" s="132"/>
      <c r="BL747" s="132"/>
    </row>
    <row r="748" customFormat="false" ht="13.8" hidden="false" customHeight="false" outlineLevel="0" collapsed="false">
      <c r="A748" s="140"/>
      <c r="B748" s="140"/>
      <c r="C748" s="168"/>
      <c r="D748" s="132"/>
      <c r="E748" s="132"/>
      <c r="F748" s="132"/>
      <c r="G748" s="132"/>
      <c r="H748" s="132"/>
      <c r="I748" s="132"/>
      <c r="J748" s="132"/>
      <c r="K748" s="132"/>
      <c r="L748" s="132"/>
      <c r="M748" s="132"/>
      <c r="N748" s="140"/>
      <c r="O748" s="132"/>
      <c r="P748" s="132"/>
      <c r="Q748" s="132"/>
      <c r="R748" s="132"/>
      <c r="S748" s="132"/>
      <c r="T748" s="132"/>
      <c r="U748" s="132"/>
      <c r="V748" s="132"/>
      <c r="W748" s="132"/>
      <c r="X748" s="132"/>
      <c r="Y748" s="132"/>
      <c r="Z748" s="132"/>
      <c r="AA748" s="132"/>
      <c r="AB748" s="132"/>
      <c r="AC748" s="132"/>
      <c r="AD748" s="132"/>
      <c r="AE748" s="132"/>
      <c r="AF748" s="132"/>
      <c r="AG748" s="132"/>
      <c r="AH748" s="132"/>
      <c r="AI748" s="132"/>
      <c r="AJ748" s="132"/>
      <c r="AK748" s="132"/>
      <c r="AL748" s="132"/>
      <c r="AM748" s="132"/>
      <c r="AN748" s="132"/>
      <c r="AO748" s="132"/>
      <c r="AP748" s="132"/>
      <c r="AQ748" s="141"/>
      <c r="AR748" s="132"/>
      <c r="AS748" s="132"/>
      <c r="AT748" s="47"/>
      <c r="AU748" s="7"/>
      <c r="AV748" s="134"/>
      <c r="AW748" s="132"/>
      <c r="AX748" s="132"/>
      <c r="AY748" s="132"/>
      <c r="AZ748" s="132"/>
      <c r="BA748" s="10"/>
      <c r="BB748" s="134"/>
      <c r="BC748" s="132"/>
      <c r="BD748" s="132"/>
      <c r="BE748" s="132"/>
      <c r="BF748" s="132"/>
      <c r="BG748" s="11"/>
      <c r="BH748" s="134"/>
      <c r="BI748" s="132"/>
      <c r="BJ748" s="132"/>
      <c r="BK748" s="132"/>
      <c r="BL748" s="132"/>
    </row>
    <row r="749" customFormat="false" ht="13.8" hidden="false" customHeight="false" outlineLevel="0" collapsed="false">
      <c r="A749" s="140"/>
      <c r="B749" s="140"/>
      <c r="C749" s="168"/>
      <c r="D749" s="132"/>
      <c r="E749" s="132"/>
      <c r="F749" s="132"/>
      <c r="G749" s="132"/>
      <c r="H749" s="132"/>
      <c r="I749" s="132"/>
      <c r="J749" s="132"/>
      <c r="K749" s="132"/>
      <c r="L749" s="132"/>
      <c r="M749" s="132"/>
      <c r="N749" s="140"/>
      <c r="O749" s="132"/>
      <c r="P749" s="132"/>
      <c r="Q749" s="132"/>
      <c r="R749" s="132"/>
      <c r="S749" s="132"/>
      <c r="T749" s="132"/>
      <c r="U749" s="132"/>
      <c r="V749" s="132"/>
      <c r="W749" s="132"/>
      <c r="X749" s="132"/>
      <c r="Y749" s="132"/>
      <c r="Z749" s="132"/>
      <c r="AA749" s="132"/>
      <c r="AB749" s="132"/>
      <c r="AC749" s="132"/>
      <c r="AD749" s="132"/>
      <c r="AE749" s="132"/>
      <c r="AF749" s="132"/>
      <c r="AG749" s="132"/>
      <c r="AH749" s="132"/>
      <c r="AI749" s="132"/>
      <c r="AJ749" s="132"/>
      <c r="AK749" s="132"/>
      <c r="AL749" s="132"/>
      <c r="AM749" s="132"/>
      <c r="AN749" s="132"/>
      <c r="AO749" s="132"/>
      <c r="AP749" s="132"/>
      <c r="AQ749" s="141"/>
      <c r="AR749" s="132"/>
      <c r="AS749" s="132"/>
      <c r="AT749" s="47"/>
      <c r="AU749" s="7"/>
      <c r="AV749" s="134"/>
      <c r="AW749" s="132"/>
      <c r="AX749" s="132"/>
      <c r="AY749" s="132"/>
      <c r="AZ749" s="132"/>
      <c r="BA749" s="10"/>
      <c r="BB749" s="134"/>
      <c r="BC749" s="132"/>
      <c r="BD749" s="132"/>
      <c r="BE749" s="132"/>
      <c r="BF749" s="132"/>
      <c r="BG749" s="11"/>
      <c r="BH749" s="134"/>
      <c r="BI749" s="132"/>
      <c r="BJ749" s="132"/>
      <c r="BK749" s="132"/>
      <c r="BL749" s="132"/>
    </row>
    <row r="750" customFormat="false" ht="13.8" hidden="false" customHeight="false" outlineLevel="0" collapsed="false">
      <c r="A750" s="140"/>
      <c r="B750" s="140"/>
      <c r="C750" s="168"/>
      <c r="D750" s="132"/>
      <c r="E750" s="132"/>
      <c r="F750" s="132"/>
      <c r="G750" s="132"/>
      <c r="H750" s="132"/>
      <c r="I750" s="132"/>
      <c r="J750" s="132"/>
      <c r="K750" s="132"/>
      <c r="L750" s="132"/>
      <c r="M750" s="132"/>
      <c r="N750" s="140"/>
      <c r="O750" s="132"/>
      <c r="P750" s="132"/>
      <c r="Q750" s="132"/>
      <c r="R750" s="132"/>
      <c r="S750" s="132"/>
      <c r="T750" s="132"/>
      <c r="U750" s="132"/>
      <c r="V750" s="132"/>
      <c r="W750" s="132"/>
      <c r="X750" s="132"/>
      <c r="Y750" s="132"/>
      <c r="Z750" s="132"/>
      <c r="AA750" s="132"/>
      <c r="AB750" s="132"/>
      <c r="AC750" s="132"/>
      <c r="AD750" s="132"/>
      <c r="AE750" s="132"/>
      <c r="AF750" s="132"/>
      <c r="AG750" s="132"/>
      <c r="AH750" s="132"/>
      <c r="AI750" s="132"/>
      <c r="AJ750" s="132"/>
      <c r="AK750" s="132"/>
      <c r="AL750" s="132"/>
      <c r="AM750" s="132"/>
      <c r="AN750" s="132"/>
      <c r="AO750" s="132"/>
      <c r="AP750" s="132"/>
      <c r="AQ750" s="141"/>
      <c r="AR750" s="132"/>
      <c r="AS750" s="132"/>
      <c r="AT750" s="47"/>
      <c r="AU750" s="7"/>
      <c r="AV750" s="134"/>
      <c r="AW750" s="132"/>
      <c r="AX750" s="132"/>
      <c r="AY750" s="132"/>
      <c r="AZ750" s="132"/>
      <c r="BA750" s="10"/>
      <c r="BB750" s="134"/>
      <c r="BC750" s="132"/>
      <c r="BD750" s="132"/>
      <c r="BE750" s="132"/>
      <c r="BF750" s="132"/>
      <c r="BG750" s="11"/>
      <c r="BH750" s="134"/>
      <c r="BI750" s="132"/>
      <c r="BJ750" s="132"/>
      <c r="BK750" s="132"/>
      <c r="BL750" s="132"/>
    </row>
    <row r="751" customFormat="false" ht="13.8" hidden="false" customHeight="false" outlineLevel="0" collapsed="false">
      <c r="A751" s="140"/>
      <c r="B751" s="140"/>
      <c r="C751" s="168"/>
      <c r="D751" s="132"/>
      <c r="E751" s="132"/>
      <c r="F751" s="132"/>
      <c r="G751" s="132"/>
      <c r="H751" s="132"/>
      <c r="I751" s="132"/>
      <c r="J751" s="132"/>
      <c r="K751" s="132"/>
      <c r="L751" s="132"/>
      <c r="M751" s="132"/>
      <c r="N751" s="140"/>
      <c r="O751" s="132"/>
      <c r="P751" s="132"/>
      <c r="Q751" s="132"/>
      <c r="R751" s="132"/>
      <c r="S751" s="132"/>
      <c r="T751" s="132"/>
      <c r="U751" s="132"/>
      <c r="V751" s="132"/>
      <c r="W751" s="132"/>
      <c r="X751" s="132"/>
      <c r="Y751" s="132"/>
      <c r="Z751" s="132"/>
      <c r="AA751" s="132"/>
      <c r="AB751" s="132"/>
      <c r="AC751" s="132"/>
      <c r="AD751" s="132"/>
      <c r="AE751" s="132"/>
      <c r="AF751" s="132"/>
      <c r="AG751" s="132"/>
      <c r="AH751" s="132"/>
      <c r="AI751" s="132"/>
      <c r="AJ751" s="132"/>
      <c r="AK751" s="132"/>
      <c r="AL751" s="132"/>
      <c r="AM751" s="132"/>
      <c r="AN751" s="132"/>
      <c r="AO751" s="132"/>
      <c r="AP751" s="132"/>
      <c r="AQ751" s="141"/>
      <c r="AR751" s="132"/>
      <c r="AS751" s="132"/>
      <c r="AT751" s="47"/>
      <c r="AU751" s="7"/>
      <c r="AV751" s="134"/>
      <c r="AW751" s="132"/>
      <c r="AX751" s="132"/>
      <c r="AY751" s="132"/>
      <c r="AZ751" s="132"/>
      <c r="BA751" s="10"/>
      <c r="BB751" s="134"/>
      <c r="BC751" s="132"/>
      <c r="BD751" s="132"/>
      <c r="BE751" s="132"/>
      <c r="BF751" s="132"/>
      <c r="BG751" s="11"/>
      <c r="BH751" s="134"/>
      <c r="BI751" s="132"/>
      <c r="BJ751" s="132"/>
      <c r="BK751" s="132"/>
      <c r="BL751" s="132"/>
    </row>
    <row r="752" customFormat="false" ht="13.8" hidden="false" customHeight="false" outlineLevel="0" collapsed="false">
      <c r="A752" s="140"/>
      <c r="B752" s="140"/>
      <c r="C752" s="168"/>
      <c r="D752" s="132"/>
      <c r="E752" s="132"/>
      <c r="F752" s="132"/>
      <c r="G752" s="132"/>
      <c r="H752" s="132"/>
      <c r="I752" s="132"/>
      <c r="J752" s="132"/>
      <c r="K752" s="132"/>
      <c r="L752" s="132"/>
      <c r="M752" s="132"/>
      <c r="N752" s="140"/>
      <c r="O752" s="132"/>
      <c r="P752" s="132"/>
      <c r="Q752" s="132"/>
      <c r="R752" s="132"/>
      <c r="S752" s="132"/>
      <c r="T752" s="132"/>
      <c r="U752" s="132"/>
      <c r="V752" s="132"/>
      <c r="W752" s="132"/>
      <c r="X752" s="132"/>
      <c r="Y752" s="132"/>
      <c r="Z752" s="132"/>
      <c r="AA752" s="132"/>
      <c r="AB752" s="132"/>
      <c r="AC752" s="132"/>
      <c r="AD752" s="132"/>
      <c r="AE752" s="132"/>
      <c r="AF752" s="132"/>
      <c r="AG752" s="132"/>
      <c r="AH752" s="132"/>
      <c r="AI752" s="132"/>
      <c r="AJ752" s="132"/>
      <c r="AK752" s="132"/>
      <c r="AL752" s="132"/>
      <c r="AM752" s="132"/>
      <c r="AN752" s="132"/>
      <c r="AO752" s="132"/>
      <c r="AP752" s="132"/>
      <c r="AQ752" s="141"/>
      <c r="AR752" s="132"/>
      <c r="AS752" s="132"/>
      <c r="AT752" s="47"/>
      <c r="AU752" s="7"/>
      <c r="AV752" s="134"/>
      <c r="AW752" s="132"/>
      <c r="AX752" s="132"/>
      <c r="AY752" s="132"/>
      <c r="AZ752" s="132"/>
      <c r="BA752" s="10"/>
      <c r="BB752" s="134"/>
      <c r="BC752" s="132"/>
      <c r="BD752" s="132"/>
      <c r="BE752" s="132"/>
      <c r="BF752" s="132"/>
      <c r="BG752" s="11"/>
      <c r="BH752" s="134"/>
      <c r="BI752" s="132"/>
      <c r="BJ752" s="132"/>
      <c r="BK752" s="132"/>
      <c r="BL752" s="132"/>
    </row>
  </sheetData>
  <autoFilter ref="A1:BL247"/>
  <conditionalFormatting sqref="L2:L246">
    <cfRule type="expression" priority="2" aboveAverage="0" equalAverage="0" bottom="0" percent="0" rank="0" text="" dxfId="0">
      <formula>LEN(TRIM(L2))&gt;0</formula>
    </cfRule>
  </conditionalFormatting>
  <dataValidations count="1">
    <dataValidation allowBlank="true" operator="between" showDropDown="false" showErrorMessage="true" showInputMessage="false" sqref="L2:L236 L245:L246" type="list">
      <formula1>"SIM,Não"</formula1>
      <formula2>0</formula2>
    </dataValidation>
  </dataValidations>
  <hyperlinks>
    <hyperlink ref="J2" r:id="rId2" display="https://sipac.sig.ufal.br/sipac/visualizaMaterial.do?popup=true&amp;id=23809&amp;acao=12"/>
    <hyperlink ref="AU2" r:id="rId3" display="17.481.539/0001-02"/>
    <hyperlink ref="AW2" r:id="rId4" display="https://celeirorural.com.br/p-12144305-METILTESTOSTERONA-17-ALFA"/>
    <hyperlink ref="BA2" r:id="rId5" display="04.597.432/0001-82"/>
    <hyperlink ref="BC2" r:id="rId6" display="https://www.jardimdeminas.com/metiltestosterona-17-alfa-1-quilo"/>
    <hyperlink ref="BI2" r:id="rId7" display="https://www.mfrural.com.br/detalhe/309589/metiltestosterona-17-alfa-1-kg"/>
    <hyperlink ref="J3" r:id="rId8" display="https://sipac.sig.ufal.br/sipac/visualizaMaterial.do?popup=true&amp;id=23074&amp;acao=12"/>
    <hyperlink ref="AW3" r:id="rId9" display="https://www.lojasynth.com/reagentes-analiticosmaterias-primas/reagentes-analiticosmaterias-primas/acetato-de-amonio-p-a-a-c-s?variant_id=301327"/>
    <hyperlink ref="BC3" r:id="rId10" display="https://www.lojaprolab.com.br/acetato-de-amonio-pa-acs-80527"/>
    <hyperlink ref="BI3" r:id="rId11" display="https://ludwigbiotec.com.br/loja/produto/acetato-de-amonio-p-a-acs-500-g/512"/>
    <hyperlink ref="J4" r:id="rId12" display="https://sipac.sig.ufal.br/sipac/visualizaMaterial.do?popup=true&amp;id=22671&amp;acao=12"/>
    <hyperlink ref="AW4" r:id="rId13" display="https://www.lojasynth.com/reagentes-analiticosmaterias-primas/reagentes-analiticosmaterias-primas/acetato-de-calcio-h20-p-a?variant_id=301858"/>
    <hyperlink ref="BC4" r:id="rId14" display="https://www.labimport.com.br/reagentes/acetato-de-calcio/acetato-de-calcio-h2o-p-a-1000-g"/>
    <hyperlink ref="BI4" r:id="rId15" display="https://www.glasslab.com.br/reagentes-e-meios/acetato-de-calcio-h2o-pa-1kg"/>
    <hyperlink ref="J5" r:id="rId16" display="https://sipac.sig.ufal.br/sipac/visualizaMaterial.do?popup=true&amp;id=22673&amp;acao=12"/>
    <hyperlink ref="AW5" r:id="rId17" display="https://www.glasslab.com.br/reagentes-e-meios/acetato-de-etila-pa-acs-1l?parceiro=6858"/>
    <hyperlink ref="BA5" r:id="rId18" display="34.397.846/0001-29"/>
    <hyperlink ref="BC5" r:id="rId19" display="https://chepplier.com/produto/acetato-de-etila/"/>
    <hyperlink ref="J6" r:id="rId20" display="https://sipac.sig.ufal.br/sipac/visualizaMaterial.do?popup=true&amp;id=22675&amp;acao=12"/>
    <hyperlink ref="AW6" r:id="rId21" display="https://www.biomedh.com.br/007590/acetato-de-sodio-anidro-pa-acs-500gr.html"/>
    <hyperlink ref="BC6" r:id="rId22" display="https://www.acsreagentes.com.br/acetato-de-sodio-anidro-pa-acs-500g-acs-cientifica?utm_source=Site&amp;utm_medium=GoogleMerchant&amp;utm_campaign=GoogleMerchant&amp;gclid=Cj0KCQiAx6ugBhCcARIsAGNmMbjLaJqtrFa3lRl9MH_aJ71dnianeOowH6sHOPdYkFM96U1sD09KyFUaAp2gEALw_wcB"/>
    <hyperlink ref="BI6" r:id="rId23" display="https://www.lojanetlab.com.br/reagentes/pa/acetato-de-sodio-anidro-pa-acs-500g"/>
    <hyperlink ref="J7" r:id="rId24" display="https://sipac.sig.ufal.br/sipac/visualizaMaterial.do?popup=true&amp;id=22677&amp;acao=12"/>
    <hyperlink ref="AW7" r:id="rId25" display="https://www.loja.tudoparalaboratorios.com.br/p-3427945-Acetona-PA-ACS---1000ml"/>
    <hyperlink ref="BC7" r:id="rId26" display="https://www.glasslab.com.br/reagentes-e-meios/acetona-pa-acs-1l"/>
    <hyperlink ref="BI7" r:id="rId27" display="https://aclmaringa.com.br/produto/acetona-pa-acs790g-fr-1000ml-dinamica/"/>
    <hyperlink ref="J8" r:id="rId28" display="https://sipac.sig.ufal.br/sipac/visualizaMaterial.do?popup=true&amp;id=22676&amp;acao=12"/>
    <hyperlink ref="J9" r:id="rId29" display="https://sipac.sig.ufal.br/sipac/visualizaMaterial.do?popup=true&amp;id=22679&amp;acao=12"/>
    <hyperlink ref="AW9" r:id="rId30" display="https://www.acsreagentes.com.br/acetonitrila-uv-hplc-espectrosc-1l-acs-cientifica?utm_source=Site&amp;utm_medium=GoogleMerchant&amp;utm_campaign=GoogleMerchant"/>
    <hyperlink ref="BC9" r:id="rId31" display="https://www.didaticasp.com.br/ACETONITRILA-1L-UV/HPLC-ESPECTROSCOPICO"/>
    <hyperlink ref="J10" r:id="rId32" display="https://sipac.sig.ufal.br/sipac/visualizaMaterial.do?popup=true&amp;id=22681&amp;acao=12"/>
    <hyperlink ref="AW10" r:id="rId33" display="https://www.biomedh.com.br/008107/acido-acetico-glacial-pa-acs-1000ml.html"/>
    <hyperlink ref="BC10" r:id="rId34" display="https://www.glasslab.com.br/reagentes-e-meios/acido-acetico-glacial-pa-acs-1l"/>
    <hyperlink ref="BG10" r:id="rId35" display="34.397.846/0001-29"/>
    <hyperlink ref="BI10" r:id="rId36" display="https://chepplier.com/produto/acido-acetico-glacial-pa-acs-1-000ml/"/>
    <hyperlink ref="J11" r:id="rId37" display="https://sipac.sig.ufal.br/sipac/visualizaMaterial.do?popup=true&amp;id=24134&amp;acao=12"/>
    <hyperlink ref="AW11" r:id="rId38" display="https://www.noxsolutions.com.br/acido-ascorbico"/>
    <hyperlink ref="BC11" r:id="rId39" display="https://www.laderquimica.com.br/acido-ascorbico-l-pa-acs-vitamina-c-500g-dinamica"/>
    <hyperlink ref="BI11" r:id="rId40" display="https://www.acsreagentes.com.br/acido-ascorbico-l-pa-acs-vit-c-500g-acs-cientifica"/>
    <hyperlink ref="J12" r:id="rId41" display="https://sipac.sig.ufal.br/sipac/visualizaMaterial.do?popup=true&amp;id=22683&amp;acao=12"/>
    <hyperlink ref="AW12" r:id="rId42" display="https://www.glasslab.com.br/reagentes-e-meios/acido-benzoico-pa-acs-500g"/>
    <hyperlink ref="BC12" r:id="rId43" display="Benzoic acid puriss. p.a., ACS reagent, reag. Ph. Eur., = 99.9 alkalimetric 65-85-0 (sigmaaldrich.com)"/>
    <hyperlink ref="J13" r:id="rId44" display="https://sipac.sig.ufal.br/sipac/visualizaMaterial.do?popup=true&amp;id=22684&amp;acao=12"/>
    <hyperlink ref="AW13" r:id="rId45" display="https://www.glasslab.com.br/reagentes-e-meios/acido-borico-pa-acs-500g"/>
    <hyperlink ref="BC13" r:id="rId46" display="https://www.biomedh.com.br/008143/acido-borico-pa-acs-1000gr.html"/>
    <hyperlink ref="BG13" r:id="rId47" display="34.397.846/0001-29"/>
    <hyperlink ref="BI13" r:id="rId48" display="https://chepplier.com/produto/acido-borico-b-174-1kg/"/>
    <hyperlink ref="J14" r:id="rId49" display="https://sipac.sig.ufal.br/sipac/visualizaMaterial.do?popup=true&amp;id=23758&amp;acao=12"/>
    <hyperlink ref="AW14" r:id="rId50" display="https://www.acsreagentes.com.br/acido-calcon-carboxilico-pa-25g-acs-cientifica?utm_source=Site&amp;utm_medium=GoogleMerchant&amp;utm_campaign=GoogleMerchant&amp;gclid=Cj0KCQiAx6ugBhCcARIsAGNmMbil6GKdlrSopDQsK4EY-aEMcrk-J3SAEWbuZUII3aZP4zbRUSHL1PMaAvqrEALw_wcB"/>
    <hyperlink ref="BC14" r:id="rId51" display="https://www.glasslab.com.br/reagentes-e-meios/corantes-quimicos/acido-calcon-carboxilico-pa?parceiro=6858&amp;variant_id=4927&amp;gclid=Cj0KCQiAx6ugBhCcARIsAGNmMbiIQbOw4fNO9WGuogQgRKrGy46wsjGD8Zz-hrqst0dog1FZmK0sep8aApoNEALw_wcB"/>
    <hyperlink ref="BI14" r:id="rId52" display="https://www.didaticasp.com.br/produto/acido-calconcarboxilico-pa-5g-cas-3737-95-9.html"/>
    <hyperlink ref="J15" r:id="rId53" display="https://sipac.sig.ufal.br/sipac/visualizaMaterial.do?popup=true&amp;id=22685&amp;acao=12"/>
    <hyperlink ref="AW15" r:id="rId54" display="https://www.lojasynth.com/reagentes-analiticosmaterias-primas/reagentes-analiticosmaterias-primas/acido-citrico-anidro-p-a-a-c-s"/>
    <hyperlink ref="BC15" r:id="rId55" display="https://www.glasslab.com.br/reagentes-e-meios/acido-citrico-anidro-pa-acs-500g"/>
    <hyperlink ref="BI15" r:id="rId56" display="https://www.noxsolutions.com.br/acido-citrico-anidro-pa-acs-500gr"/>
    <hyperlink ref="J16" r:id="rId57" display="https://sipac.sig.ufal.br/sipac/visualizaMaterial.do?popup=true&amp;id=22686&amp;acao=12"/>
    <hyperlink ref="AV16" r:id="rId58" display="https://www.glasslab.com.br/reagentes-e-meios/acido-cloridrico-37-pa-acs-1l?parceiro=6858&amp;srsltid=Ad5pg_G7CScuFL1IUtRtl6konsrm12ychK1DaojJzJbpdp_FzObkSJpeREs"/>
    <hyperlink ref="AW16" r:id="rId59" display="https://www.glasslab.com.br/reagentes-e-meios/acido-cloridrico-37-pa-acs-1l?parceiro=6858&amp;srsltid=Ad5pg_G7CScuFL1IUtRtl6konsrm12ychK1DaojJzJbpdp_FzObkSJpeREs"/>
    <hyperlink ref="BC16" r:id="rId60" display="https://myhexis.com.br/index.php?option=com_movimentacao&amp;op=PROD&amp;task=detalhar&amp;produto_id=HX0269-00005"/>
    <hyperlink ref="J17" r:id="rId61" display="https://sipac.sig.ufal.br/sipac/visualizaMaterial.do?popup=true&amp;id=22689&amp;acao=12"/>
    <hyperlink ref="AW17" r:id="rId62" display="https://www.lojasynth.com/reagentes-analiticosmaterias-primas/reagentes-analiticosmaterias-primas/e-d-t-a-acido-p-a?variant_id=302785"/>
    <hyperlink ref="J18" r:id="rId63" display="https://sipac.sig.ufal.br/sipac/visualizaMaterial.do?popup=true&amp;id=25737&amp;acao=12"/>
    <hyperlink ref="AW18" r:id="rId64" display="Hydrofluoric acid puriss. p.a., reag. ISO, reag. Ph. Eur., = 40 7664-39-3 (sigmaaldrich.com)"/>
    <hyperlink ref="J19" r:id="rId65" display="https://sipac.sig.ufal.br/sipac/visualizaMaterial.do?popup=true&amp;id=22690&amp;acao=12"/>
    <hyperlink ref="AW19" r:id="rId66" display="https://www.acsreagentes.com.br/acido-fosforico-orto-85-pa-acs-1l-acs-cientifica?utm_source=Site&amp;utm_medium=GoogleMerchant&amp;utm_campaign=GoogleMerchant"/>
    <hyperlink ref="BC19" r:id="rId67" display="https://www.myhexis.com.br/index.php?option=com_movimentacao&amp;op=PROD&amp;task=detalhar&amp;produto_id=HX0178-00002"/>
    <hyperlink ref="BI19" r:id="rId68" display="https://www.didaticasp.com.br/produto/acido-orto-fosforico-85-pa-1l-cas-7664-38-2-ssp.html"/>
    <hyperlink ref="J20" r:id="rId69" display="https://sipac.sig.ufal.br/sipac/visualizaMaterial.do?popup=true&amp;id=28176&amp;acao=12"/>
    <hyperlink ref="J21" r:id="rId70" display="https://sipac.sig.ufal.br/sipac/visualizaMaterial.do?popup=true&amp;id=6757&amp;acao=12"/>
    <hyperlink ref="AW21" r:id="rId71" display="https://www.myhexis.com.br/index.php?option=com_movimentacao&amp;op=PROD&amp;task=detalhar&amp;produto_id=HX0269-00007"/>
    <hyperlink ref="J22" r:id="rId72" display="https://sipac.sig.ufal.br/sipac/visualizaMaterial.do?popup=true&amp;id=20001&amp;acao=12"/>
    <hyperlink ref="AW22" r:id="rId73" display="https://www.glasslab.com.br/reagentes-e-meios/acido-oxalico-cristal-2h2o-pa-500g?parceiro=6858&amp;srsltid=Ad5pg_F043tuxYUX2g7iDE9oKuFLCr72pNOOn0m1U5spM-QOkFUmdxJ-9_8"/>
    <hyperlink ref="BC22" r:id="rId74" display="https://www.orionprodutoscientificos.com.br/acido-oxalico-cristal-2h2o-pa-500g-exodo-cientifica?utm_source=Site&amp;utm_medium=GoogleMerchant&amp;utm_campaign=GoogleMerchant"/>
    <hyperlink ref="BI22" r:id="rId75" display="https://www.lojasynth.com/reagentes-analiticosmaterias-primas/reagentes-analiticosmaterias-primas/acido-oxalico-2h2o-p-a-a-c-s?parceiro=2827&amp;gclid=Cj0KCQiAgaGgBhC8ARIsAAAyLfG6c3oa_ghHHZQ8bgGzGbD6w_Rrk5KmLB3E2KAEumikfzDsXq2wnNwaAqhGEALw_wcB&amp;variant_id=301749"/>
    <hyperlink ref="J23" r:id="rId76" display="https://sipac.sig.ufal.br/sipac/visualizaMaterial.do?popup=true&amp;id=10606&amp;acao=12"/>
    <hyperlink ref="AW23" r:id="rId77" display="https://www.sigmaaldrich.com/BR/pt/product/sigald/244252"/>
    <hyperlink ref="J24" r:id="rId78" display="https://sipac.sig.ufal.br/sipac/visualizaMaterial.do?popup=true&amp;id=28190&amp;acao=12"/>
    <hyperlink ref="J25" r:id="rId79" display="https://sipac.sig.ufal.br/sipac/visualizaMaterial.do?popup=true&amp;id=23024&amp;acao=12"/>
    <hyperlink ref="J26" r:id="rId80" display="https://sipac.sig.ufal.br/sipac/visualizaMaterial.do?popup=true&amp;id=23027&amp;acao=12"/>
    <hyperlink ref="AW26" r:id="rId81" display="https://myhexis.com.br/index.php?option=com_movimentacao&amp;op=PROD&amp;task=detalhar&amp;produto_id=HX0269-00008"/>
    <hyperlink ref="BC26" r:id="rId82" display="https://www.glasslab.com.br/reagentes-e-meios/acido-sulfurico-95-98-pa-acs-1l"/>
    <hyperlink ref="BI26" r:id="rId83" display="https://www.didaticasp.com.br/produto/acido-sulfurico-pa-acs-1l-cas-7664-93-9-pfssp-concentracao-98-densidade-184.html"/>
    <hyperlink ref="J27" r:id="rId84" display="https://sipac.sig.ufal.br/sipac/visualizaMaterial.do?popup=true&amp;id=15923&amp;acao=12"/>
    <hyperlink ref="AW27" r:id="rId85" display="https://www.glasslab.com.br/reagentes-e-meios/acido-tricloroacetico-pa-acs-500g?parceiro=6858&amp;gclid=Cj0KCQiAgaGgBhC8ARIsAAAyLfEJMZZ1Qq2aGQKQjOXZ4IQ45YGMcHlzVLwpT_R1PEwHb4N6HjYW7GoaAnwIEALw_wcB"/>
    <hyperlink ref="BC27" r:id="rId86" display="https://www.acsreagentes.com.br/acido-tricloroacetico-pa-acs-100g-acs-cientifica?utm_source=Site&amp;utm_medium=GoogleMerchant&amp;utm_campaign=GoogleMerchant"/>
    <hyperlink ref="BI27" r:id="rId87" display="https://www.lojanetlab.com.br/acido-tricloroacetico-pa-acs-100gr-dinamica"/>
    <hyperlink ref="J28" r:id="rId88" display="https://sipac.sig.ufal.br/sipac/visualizaMaterial.do?popup=true&amp;id=23003&amp;acao=12"/>
    <hyperlink ref="AW28" r:id="rId89" display="https://www.lojanetlab.com.br/agar-bacteriologico-kasvi-k25-611001?parceiro=7105&amp;gclid=Cj0KCQiAgaGgBhC8ARIsAAAyLfFdlSt4hkidcwL-sG4NlTI_cQhbiN9-3xsWDd4S4sgjCMzUoEiEJDoaAlD8EALw_wcB"/>
    <hyperlink ref="BC28" r:id="rId90" display="https://www.orionprodutoscientificos.com.br/agar-grau-bacteriologico-frasco-500g-himedia?utm_source=Site&amp;utm_medium=GoogleMerchant&amp;utm_campaign=GoogleMerchant"/>
    <hyperlink ref="BI28" r:id="rId91" display="https://www.glasslab.com.br/reagentes-e-meios/agar-bacteriologico-frasco-500g-ref-k25-1800-kasvi?parceiro=6858&amp;gclid=Cj0KCQiAgaGgBhC8ARIsAAAyLfGr8c2oMN-Nt3ldWB4VtAcBV0rGulaAh8H_uldXvsDG9n1h-HnIWhgaAvwjEALw_wcB"/>
    <hyperlink ref="J29" r:id="rId92" display="https://sipac.sig.ufal.br/sipac/visualizaMaterial.do?popup=true&amp;id=28223&amp;acao=12"/>
    <hyperlink ref="AW29" r:id="rId93" display="https://www.orionprodutoscientificos.com.br/agar-base-sangue-columbia-frasco-500g-himedia?utm_source=Site&amp;utm_medium=GoogleMerchant&amp;utm_campaign=GoogleMerchant"/>
    <hyperlink ref="BC29" r:id="rId94" display="https://www.lkpdiagnosticos.com.br/meios-de-cultura/7125-agar-base-sangue-columbia-columbia-blood-agar-base-500g?parceiro=3898"/>
    <hyperlink ref="BI29" r:id="rId95" display="https://www.forlabexpress.com.br/agar-base-columbia-frasco-500g-himedia"/>
    <hyperlink ref="J30" r:id="rId96" display="https://sipac.sig.ufal.br/sipac/visualizaMaterial.do?popup=true&amp;id=25889&amp;acao=12"/>
    <hyperlink ref="AW30" r:id="rId97" display="https://www.forlabexpress.com.br/agar-bile-esculina-500g-kasvi?parceiro=3512&amp;srsltid=Ad5pg_HHs8pm4x3ZB628a8px8vBauvbowx_x52Xla4UfOTscMzDj6r618xI"/>
    <hyperlink ref="BC30" r:id="rId98" display="https://www.orionprodutoscientificos.com.br/agar-bile-esculina-frasco-500g-himedia"/>
    <hyperlink ref="BI30" r:id="rId99" display="https://www.biosynesis.com.br/produto/agar-bile-esculina-frasco-500g.html?srsltid=Ad5pg_EFT-hbHeuflvcR4wHoDW_jHi0khyP-nT7ZNAKXDS3Y_YN3CkUq9vg"/>
    <hyperlink ref="J31" r:id="rId100" display="https://sipac.sig.ufal.br/sipac/visualizaMaterial.do?popup=true&amp;id=25894&amp;acao=12"/>
    <hyperlink ref="AW31" r:id="rId101" display="https://www.orionprodutoscientificos.com.br/agar-lisina-ferro-lia-frasco-500g-himedia?utm_source=Site&amp;utm_medium=GoogleMerchant&amp;utm_campaign=GoogleMerchant"/>
    <hyperlink ref="BC31" r:id="rId102" display="https://www.forlabexpress.com.br/agar-lisina-ferro-lia-kasvi-frasco-500g?parceiro=3512&amp;srsltid=Ad5pg_HKdi4EkWJqpqY_-SoLlj7JhOefYtwOPlUJF_piSUc7E7oilDJrbNE"/>
    <hyperlink ref="BI31" r:id="rId103" display="https://www.lojanetlab.com.br/meios-de-cultura/agar/agar-lisina-ferro-lia-frasco-500g-k25-610027-kasvi"/>
    <hyperlink ref="J32" r:id="rId104" display="https://sipac.sig.ufal.br/sipac/visualizaMaterial.do?popup=true&amp;id=25895&amp;acao=12"/>
    <hyperlink ref="AW32" r:id="rId105" display="https://www.orionprodutoscientificos.com.br/caldo-mac-conkey-frasco-500g-himedia?utm_source=Site&amp;utm_medium=GoogleMerchant&amp;utm_campaign=GoogleMerchant"/>
    <hyperlink ref="BC32" r:id="rId106" display="https://www.glasslab.com.br/reagentes-e-meios/agar-mac-conkey-frasco-500g-k25-1052-kasvi?parceiro=6858&amp;srsltid=Ad5pg_EkeMcyE1oDGKIfWcJWkVN-RKaMGRRms2ROh4yU9vMWkCqssKD9PvE"/>
    <hyperlink ref="BI32" r:id="rId107" display="https://www.forlabexpress.com.br/agar-mac-conkey-kasvi-frasco-500g?parceiro=3512&amp;srsltid=Ad5pg_GLv-hLqwOLV81Ni6UlugyaYZDiy1VBo_OK65z26IBoru0trDfF07I"/>
    <hyperlink ref="J33" r:id="rId108" display="https://sipac.sig.ufal.br/sipac/visualizaMaterial.do?popup=true&amp;id=23010&amp;acao=12"/>
    <hyperlink ref="AW33" r:id="rId109" display="https://www.glasslab.com.br/reagentes-e-meios/agar-mueller-hinton-frasco-500g-ref-k25-1058-kasvi?parceiro=6858&amp;gclid=Cj0KCQiAgaGgBhC8ARIsAAAyLfGBteTTiKBrXyKugZcdQr-bxHBJwzd-aOsqkVuWwOIOrbxPVms5uzwaAkwxEALw_wcB"/>
    <hyperlink ref="BC33" r:id="rId110" display="https://www.orionprodutoscientificos.com.br/agar-mueller-hinton-frasco-500g-himedia?utm_source=Site&amp;utm_medium=GoogleMerchant&amp;utm_campaign=GoogleMerchant"/>
    <hyperlink ref="BI33" r:id="rId111" display="https://www.lojanetlab.com.br/meios-de-cultura/agar/agar-mueller-hinton-frasco-500g-ref-k25-610033-kasvi"/>
    <hyperlink ref="J34" r:id="rId112" display="https://sipac.sig.ufal.br/sipac/visualizaMaterial.do?popup=true&amp;id=30621&amp;acao=12"/>
    <hyperlink ref="AW34" r:id="rId113" display="https://www.lojanetlab.com.br/meios-de-cultura/agar/agar-sabouraud-dextrose-frasco-500g-k25-610103-kasvi"/>
    <hyperlink ref="BC34" r:id="rId114" display="https://ludwigbiotec.com.br/loja/produto/agar-sabouraud-dextrose-500-g/146"/>
    <hyperlink ref="BI34" r:id="rId115" display="https://www.forlabexpress.com.br/agar-sabouraud-dextrose-kasvi-frasco-500g"/>
    <hyperlink ref="J35" r:id="rId116" display="https://sipac.sig.ufal.br/sipac/visualizaMaterial.do?popup=true&amp;id=28193&amp;acao=12"/>
    <hyperlink ref="AW35" r:id="rId117" display="https://www.forlabexpress.com.br/agar-sangue-base-frasco-500g-himedia"/>
    <hyperlink ref="BC35" r:id="rId118" display="https://www.lojanetlab.com.br/meios-de-cultura/agar/agar-sangue-base-frasco-500g-k25-610005-kasvi"/>
    <hyperlink ref="BI35" r:id="rId119" display="https://www.dsyslab.com.br/meios-de-cultura/agar-em-po-desidratado/agar-sangue-base-agar-infusao-frasco-com-500-gramas-himedia"/>
    <hyperlink ref="J36" r:id="rId120" display="https://sipac.sig.ufal.br/sipac/visualizaMaterial.do?popup=true&amp;id=28194&amp;acao=12"/>
    <hyperlink ref="AW36" r:id="rId121" display="https://www.outlet.sinergiacientifica.com.br/microbiologia/agar-sim-medium-500g?parceiro=8522"/>
    <hyperlink ref="BC36" r:id="rId122" display="https://www.lkpdiagnosticos.com.br/meios-de-cultura/7221-agar-sim-sim-medium-500g?parceiro=3898"/>
    <hyperlink ref="BI36" r:id="rId123" display="https://www.primecirurgica.com.br/meio-sim-frasco-500gr-kasvi-p3202/p"/>
    <hyperlink ref="J37" r:id="rId124" display="https://sipac.sig.ufal.br/sipac/visualizaMaterial.do?popup=true&amp;id=28201&amp;acao=12"/>
    <hyperlink ref="AW37" r:id="rId125" display="https://www.forlabexpress.com.br/agar-triplice-acucar-ferro-tsi-frasco-500g-himedia"/>
    <hyperlink ref="BC37" r:id="rId126" display="https://ludwigbiotec.com.br/loja/produto/agar-triplice-acucar-ferro-tsi/152"/>
    <hyperlink ref="BI37" r:id="rId127" display="https://www.lojanetlab.com.br/meios-de-cultura/agar/agar-triplice-acucar-ferro-tsi-frasco-500g-k25-610055-kasvi"/>
    <hyperlink ref="J38" r:id="rId128" display="https://sipac.sig.ufal.br/sipac/visualizaMaterial.do?popup=true&amp;id=28224&amp;acao=12"/>
    <hyperlink ref="AW38" r:id="rId129" display="https://www.dsyslab.com.br/meios-de-cultura/agar-em-po-desidratado/agar-base-ureia-christensen-frasco-com-500-gramas-himedia"/>
    <hyperlink ref="BC38" r:id="rId130" display="https://ludwigbiotec.com.br/loja/produto/agar-ureia-base-500-g/155"/>
    <hyperlink ref="BI38" r:id="rId131" display="https://www.forlabexpress.com.br/agar-ureia-base-kasvi-frasco-500g"/>
    <hyperlink ref="J39" r:id="rId132" display="https://sipac.sig.ufal.br/sipac/visualizaMaterial.do?popup=true&amp;id=31091&amp;acao=12"/>
    <hyperlink ref="J40" r:id="rId133" display="https://sipac.sig.ufal.br/sipac/visualizaMaterial.do?popup=true&amp;id=28225&amp;acao=12"/>
    <hyperlink ref="AW40" r:id="rId134" display="https://www.forlabexpress.com.br/agua-peptona-tamponada-kasvi-frasco-500g"/>
    <hyperlink ref="BC40" r:id="rId135" display="https://www.lkpdiagnosticos.com.br/meios-de-cultura/k25-611014-agua-peptona-tamponada-frasco-500g"/>
    <hyperlink ref="BI40" r:id="rId136" display="https://ludwigbiotec.com.br/loja/produto/agua-peptona-tamponada-500-g/212"/>
    <hyperlink ref="J41" r:id="rId137" display="https://sipac.sig.ufal.br/sipac/visualizaMaterial.do?popup=true&amp;id=23371&amp;acao=12"/>
    <hyperlink ref="AW41" r:id="rId138" display="https://www.noxsolutions.com.br/alaranjado-de-metila-pa-25g"/>
    <hyperlink ref="BC41" r:id="rId139" display="https://www.orionprodutoscientificos.com.br/alaranjado-de-metila-p-a-acs-25-g-fabricante-neon"/>
    <hyperlink ref="BI41" r:id="rId140" display="https://www.lojanetlab.com.br/reagentes/pa/alaranjado-de-metila-pa-acs-25g"/>
    <hyperlink ref="J42" r:id="rId141" display="https://sipac.sig.ufal.br/sipac/visualizaMaterial.do?popup=true&amp;id=23000&amp;acao=12"/>
    <hyperlink ref="AW42" r:id="rId142" display="https://www.acsreagentes.com.br/alcool-butilico-normal-paacs-butanol-1-1l-acs-cientifica?utm_source=Site&amp;utm_medium=GoogleMerchant&amp;utm_campaign=GoogleMerchant"/>
    <hyperlink ref="BC42" r:id="rId143" display="https://www.glasslab.com.br/reagentes-e-meios/alcool-butilico-normal-pa-acs-1l?parceiro=6858&amp;srsltid=Ad5pg_FP7ZhKAQbP7gPlEN5NaJiRmUuFh7aNukVQ6ZrzsBb1t6nnSrJSTB0"/>
    <hyperlink ref="BI42" r:id="rId144" display="https://www.labimport.com.br/reagentes/alcool-butilico/alcool-butilico-normal-pa-acs-butanol-1-1-l"/>
    <hyperlink ref="J43" r:id="rId145" display="https://sipac.sig.ufal.br/sipac/visualizaMaterial.do?popup=true&amp;id=28202&amp;acao=12"/>
    <hyperlink ref="AW43" r:id="rId146" display="https://www.theravita.com.br/alcool-70-liquido-1-l-sol?gclid=Cj0KCQiApKagBhC1ARIsAFc7Mc60lFUvffRPPUXoRKy6-DP6DAB_tuG-bxOvHV8UFph5hs2cBfP-3-0aAoSmEALw_wcB"/>
    <hyperlink ref="BC43" r:id="rId147" display="https://www.otimadistribuidora.com.br/material-de-limpeza/saneantes/alcool-70-1000ml-itaja?parceiro=1129&amp;gclid=Cj0KCQiApKagBhC1ARIsAFc7Mc7UGepgaiQnv4ivUeUa98Q3hB-c5vS1DEN4G0OcSAHptvbRuemEPLEaAoiFEALw_wcB"/>
    <hyperlink ref="BI43" r:id="rId148" display="https://www.alexfarma.com.br/alcool-70--cruzeiro-1lt/p?idsku=222"/>
    <hyperlink ref="J44" r:id="rId149" display="https://sipac.sig.ufal.br/sipac/visualizaMaterial.do?popup=true&amp;id=2081&amp;acao=12"/>
    <hyperlink ref="AW44" r:id="rId150" display="https://www.biomedh.com.br/007017/alcool-etilico-absoluto-995-frplast-pa-1000ml.html"/>
    <hyperlink ref="BC44" r:id="rId151" display="https://www.acsreagentes.com.br/alcool-etilico-absoluto-998-pa-acs-1l-frasco-de-vidro-acs-cientifica?utm_source=Site&amp;utm_medium=GoogleMerchant&amp;utm_campaign=GoogleMerchant"/>
    <hyperlink ref="BI44" r:id="rId152" display="https://www.dsyslab.com.br/reagentes/alcool-etilico-absoluto-pa-99-8-cas-64-17-5-onu-1170-frasco-plastico-com-1l-ae06689ra-exodo?parceiro=7063&amp;srsltid=Ad5pg_G06enaUv73CInZIBc0P1YU1rmXP3q8Vzyr7E8XO-o-UgY03Ia8g_AA"/>
    <hyperlink ref="J45" r:id="rId153" display="https://sipac.sig.ufal.br/sipac/visualizaMaterial.do?popup=true&amp;id=28211&amp;acao=12"/>
    <hyperlink ref="AW45" r:id="rId154" display="https://www.orionprodutoscientificos.com.br/alcool-etilico-absoluto-p-a-acs-iso-1l-fabricante-exodo-cientifica?utm_source=Site&amp;utm_medium=GoogleMerchant&amp;utm_campaign=GoogleMerchant"/>
    <hyperlink ref="BC45" r:id="rId155" display="https://www.glasslab.com.br/reagentes-e-meios/alcool-etilico-abs-pa-acs-iso-99-100-1l?parceiro=6858&amp;srsltid=Ad5pg_Eeitz-bZ82cmVWtgwg0yeX9BAdyLSjN-Jx9aGt7b7RdIOQgXmcDB8"/>
    <hyperlink ref="J46" r:id="rId156" display="https://sipac.sig.ufal.br/sipac/visualizaMaterial.do?popup=true&amp;id=23097&amp;acao=12"/>
    <hyperlink ref="AW46" r:id="rId157" display="https://www.dentalmaster.com.br/alcool-etilico-hidratado-96----prolink/p?idsku=2008560"/>
    <hyperlink ref="BC46" r:id="rId158" display="https://www.dentalspeed.com/modelo/alcool-prolink-96-1l-prolink-15275?srsltid=Ad5pg_FBMZBG7qODa1kfZ8Qsl8yj_jR4L-GHsKQ9J81ds0AOxfNcXIp87tg"/>
    <hyperlink ref="BI46" r:id="rId159" display="https://www.quanticaw.com.br/alcool-96-1litro-p67"/>
    <hyperlink ref="J47" r:id="rId160" display="https://sipac.sig.ufal.br/sipac/visualizaMaterial.do?popup=true&amp;id=30787&amp;acao=12"/>
    <hyperlink ref="AW47" r:id="rId161" display="https://www.acsreagentes.com.br/alcool-propilico-iso-pa-acs-2-propanol-1l-acs-cientifica?utm_source=Site&amp;utm_medium=GoogleMerchant&amp;utm_campaign=GoogleMerchant&amp;gclid=Cj0KCQiAx6ugBhCcARIsAGNmMbj4avjfB7pQZTvzDNs2HGPbvviFhLAIrOMOi0YPUOj18x2hPOivFW8aAvUpEALw_wcB"/>
    <hyperlink ref="BC47" r:id="rId162" display="https://www.glasslab.com.br/reagentes-e-meios/alcool-iso-propilico-pa-acs-1l?parceiro=6858&amp;gclid=Cj0KCQiAx6ugBhCcARIsAGNmMbjhTpOsZK0MskqGu3x8ACYs9yxZblduVClnZbUJsL5nNb1ONDkU9kkaAgS4EALw_wcB"/>
    <hyperlink ref="BI47" r:id="rId163" display="https://www.dsyslab.com.br/reagentes/alcool/alcool-isopropilico-pa-acs-2-propanol-frasco-com-1-litro-mod-ai09965ra-onu-1219-exodo?parceiro=7063&amp;srsltid=Ad5pg_E2Bkytur1NvVa9v25chTViVXftwcHIOeFmdJxbHr-exbsQrqg07wk"/>
    <hyperlink ref="J48" r:id="rId164" display="https://sipac.sig.ufal.br/sipac/visualizaMaterial.do?popup=true&amp;id=23277&amp;acao=12"/>
    <hyperlink ref="AW48" r:id="rId165" display="https://www.orionprodutoscientificos.com.br/alcool-propilico-iso-uv-hplc-plus-1l-fabricante-exodo-cientifica?utm_source=Site&amp;utm_medium=GoogleMerchant&amp;utm_campaign=GoogleMerchant"/>
    <hyperlink ref="BC48" r:id="rId166" display="https://www.glasslab.com.br/reagentes-e-meios/alcool-iso-propilico-hplc-1l?parceiro=6858&amp;srsltid=Ad5pg_FGhXqpeLx_cyub8cvUOTiBEPQk_brai-CxqCmBHdv4Go8AOG_34-k"/>
    <hyperlink ref="BI48" r:id="rId167" display="https://www.didaticasp.com.br/alcool-isopropilico-uvhplc-espectroscopico-2-propanol-isopropanol-1l"/>
    <hyperlink ref="J49" r:id="rId168" display="https://sipac.sig.ufal.br/sipac/visualizaMaterial.do?popup=true&amp;id=2082&amp;acao=12"/>
    <hyperlink ref="AW49" r:id="rId169" display="https://www.labimport.com.br/reagentes/alcool/alcool-metilico-pa-acs-1-l-11701"/>
    <hyperlink ref="BC49" r:id="rId170" display="https://www.acsreagentes.com.br/alcool-metilico-pa-acs-1l-acs-cientifica?utm_source=Site&amp;utm_medium=GoogleMerchant&amp;utm_campaign=GoogleMerchant"/>
    <hyperlink ref="BI49" r:id="rId171" display="https://www.biomedh.com.br/007197/alcool-metilico-metanol-pa-acs-790g-1000ml.html"/>
    <hyperlink ref="J50" r:id="rId172" display="https://sipac.sig.ufal.br/sipac/visualizaMaterial.do?popup=true&amp;id=5598&amp;acao=12"/>
    <hyperlink ref="AW50" r:id="rId173" display="https://www.acsreagentes.com.br/alcool-metilico-metanol-hplc-uv-1l-acs-cientifica?utm_source=Site&amp;utm_medium=GoogleMerchant&amp;utm_campaign=GoogleMerchant"/>
    <hyperlink ref="BC50" r:id="rId174" display="https://www.didaticasp.com.br/produto/alcool-metilico-uvhplc-4l-cas-67-56-1-ssp.html"/>
    <hyperlink ref="J51" r:id="rId175" display="https://sipac.sig.ufal.br/sipac/visualizaMaterial.do?popup=true&amp;id=2422&amp;acao=12"/>
    <hyperlink ref="AW51" r:id="rId176" display="https://www.acsreagentes.com.br/alcool-propilico-normal-pa-1-propanol-1l-acs-cientifica?utm_source=Site&amp;utm_medium=GoogleMerchant&amp;utm_campaign=GoogleMerchant&amp;gclid=Cj0KCQiAx6ugBhCcARIsAGNmMbgcuNnc3TbL5o6PvZFLIPT874aNLGHUUV7iBWDqh1VflxLeKgwq564aAlPKEALw_wcB"/>
    <hyperlink ref="BC51" r:id="rId177" display="https://www.glasslab.com.br/reagentes-e-meios/alcool-propilico-normal-pa-1l?parceiro=6858&amp;gclid=Cj0KCQiAx6ugBhCcARIsAGNmMbiY2X9vd1GwjTYJWkYQu8xAjCbE2rcBywlZHoLXdw-drKTNk6GZ8JkaArgpEALw_wcB"/>
    <hyperlink ref="BI51" r:id="rId178" display="https://www.didaticasp.com.br/produto/alcool-n-propilico-pa-1l-cas-71-23-8-ssp.html"/>
    <hyperlink ref="J52" r:id="rId179" display="https://sipac.sig.ufal.br/sipac/visualizaMaterial.do?popup=true&amp;id=23479&amp;acao=12"/>
    <hyperlink ref="AW52" r:id="rId180" display="https://www.lojaprolab.com.br/alizarina-pa-81202"/>
    <hyperlink ref="BC52" r:id="rId181" display="https://www.orionprodutoscientificos.com.br/alizarina-ci-58000-pa-25g-exodo-cientifica"/>
    <hyperlink ref="BI52" r:id="rId182" display="https://www.glasslab.com.br/reagentes-e-meios/alizarina-ci-58000-pa-25g?parceiro=6858&amp;gclid=Cj0KCQiAx6ugBhCcARIsAGNmMbhkok3MVosxZCgj59tCaUfhndbTbpahvbPF6xAUEAuwe62YCo75C1UaAigjEALw_wcB"/>
    <hyperlink ref="J53" r:id="rId183" display="https://sipac.sig.ufal.br/sipac/visualizaMaterial.do?popup=true&amp;id=30772&amp;acao=12"/>
    <hyperlink ref="AW53" r:id="rId184" display="https://www.acsreagentes.com.br/aluminio-em-po-997-pa-100g-acs-cientifica?utm_source=Site&amp;utm_medium=GoogleMerchant&amp;utm_campaign=GoogleMerchant&amp;gclid=Cj0KCQiAx6ugBhCcARIsAGNmMbhdmBHy8nME7j4HmV4TRRlaQsyE1MXWl2zMURRp2X18JTNcJCZtNaoaAo8XEALw_wcB"/>
    <hyperlink ref="J54" r:id="rId185" display="https://sipac.sig.ufal.br/sipac/visualizaMaterial.do?popup=true&amp;id=2209&amp;acao=12"/>
    <hyperlink ref="AW54" r:id="rId186" display="https://www.dsyslab.com.br/reagentes/amido/amido-soluvel-pa-acs-frasco-com-500g-as06585ra-exodo?parceiro=7063&amp;srsltid=Ad5pg_FPo2fjo3K1M9U-9OpaF42L8PN6wwtQpyqe6aXvysaQQSDD0QIO9YU"/>
    <hyperlink ref="BC54" r:id="rId187" display="https://www.orionprodutoscientificos.com.br/amido-soluvel-pa-acs-500g-exodo-cientifica?utm_source=Site&amp;utm_medium=GoogleMerchant&amp;utm_campaign=GoogleMerchant"/>
    <hyperlink ref="J55" r:id="rId188" display="https://sipac.sig.ufal.br/sipac/visualizaMaterial.do?popup=true&amp;id=145&amp;acao=12"/>
    <hyperlink ref="AW55" r:id="rId189" display="https://www.glasslab.com.br/reagentes-e-meios/anidrido-acetico-pa-acs-1l?parceiro=6858&amp;srsltid=Ad5pg_FQn0UB83saMdV43JQCykvXq6z0tjyu2Gp2-1JzKPuxOXmHf8z2QxE"/>
    <hyperlink ref="J56" r:id="rId190" display="https://sipac.sig.ufal.br/sipac/visualizaMaterial.do?popup=true&amp;id=30414&amp;acao=12"/>
    <hyperlink ref="AW56" r:id="rId191" display="https://www.sigmaaldrich.com/BR/pt/product/sigma/a2765"/>
    <hyperlink ref="J57" r:id="rId192" display="https://sipac.sig.ufal.br/sipac/visualizaMaterial.do?popup=true&amp;id=21042&amp;acao=12"/>
    <hyperlink ref="AW57" r:id="rId193" display="https://www.acsreagentes.com.br/azul-de-alcian-alcian-blue-ci-74240-10g-acs-cientifica?utm_source=Site&amp;utm_medium=GoogleMerchant&amp;utm_campaign=GoogleMerchant&amp;gclid=Cj0KCQjwk7ugBhDIARIsAGuvgPZdc-pbcXC_OmhmWIrVXExsRO6AT6arZpAHIT3I_xzoZoDStNcC9FwaAgFaEALw_wcB"/>
    <hyperlink ref="BC57" r:id="rId194" display="https://www.glasslab.com.br/reagentes-e-meios/azul-de-alcian-ci-74240-pa-10g?parceiro=6858&amp;srsltid=Ad5pg_FDyPCRvpry5EhdsEoJ7uxF_y9EB0InlQo7sJUXQRNRJMnoWyZXD4o"/>
    <hyperlink ref="BI57" r:id="rId195" display="https://www.didaticasp.com.br/produto/azul-de-alcian-25g-cas-33864-99-2.html"/>
    <hyperlink ref="J58" r:id="rId196" display="https://sipac.sig.ufal.br/sipac/visualizaMaterial.do?popup=true&amp;id=23373&amp;acao=12"/>
    <hyperlink ref="AW58" r:id="rId197" display="https://www.acsreagentes.com.br/azul-de-astra-ci-48048-10g-acs-cientifica?utm_source=Site&amp;utm_medium=GoogleMerchant&amp;utm_campaign=GoogleMerchant"/>
    <hyperlink ref="BC58" r:id="rId198" display="https://www.labimport.com.br/reagentes/azul-de-astra/azul-de-astra-ci-48048-10g"/>
    <hyperlink ref="BI58" r:id="rId199" display="https://www.lojanetlab.com.br/azul-de-astra-ci-48048-10gr-dinamica"/>
    <hyperlink ref="J59" r:id="rId200" display="https://sipac.sig.ufal.br/sipac/visualizaMaterial.do?popup=true&amp;id=18098&amp;acao=12"/>
    <hyperlink ref="AW59" r:id="rId201" display="https://www.acsreagentes.com.br/azul-de-bromotimol-pa-25g-acs-cientifica?utm_source=Site&amp;utm_medium=GoogleMerchant&amp;utm_campaign=GoogleMerchant&amp;gclid=Cj0KCQiAx6ugBhCcARIsAGNmMbgMjuYws-4lYbF0mRic7awBvmjSwbjYTJBE9MT6uU6k32Y6XVg5fksaAuZ_EALw_wcB"/>
    <hyperlink ref="BC59" r:id="rId202" display="https://www.glasslab.com.br/reagentes-e-meios/azul-de-bromotimol-pa-25g?parceiro=6858&amp;gclid=Cj0KCQiAx6ugBhCcARIsAGNmMbiqKvKl0bA_j8hB8LchwhBNGrwiitOJ87PVFnI_EP6M0jIKyKdbJZ4aAsbIEALw_wcB"/>
    <hyperlink ref="BI59" r:id="rId203" display="https://www.lojaprolab.com.br/azul-de-bromotimol-pa-acs-81244"/>
    <hyperlink ref="J60" r:id="rId204" display="https://sipac.sig.ufal.br/sipac/visualizaMaterial.do?popup=true&amp;id=25980&amp;acao=12"/>
    <hyperlink ref="AW60" r:id="rId205" display="https://www.labimport.com.br/reagentes/azul-de-metileno/azul-de-metileno-solucao-1-alcoolica-1-l"/>
    <hyperlink ref="BC60" r:id="rId206" display="https://www.acsreagentes.com.br/azul-de-metileno-solucao-1-aquosa-1l-acs-cientifica?utm_source=Site&amp;utm_medium=GoogleMerchant&amp;utm_campaign=GoogleMerchant&amp;gclid=Cj0KCQjwk7ugBhDIARIsAGuvgPbFHfB-kwPs2upGuwg1PuTH4gSzJxCphs0Iej3_YlSzcVbaLLVi4X8aAnu9EALw_wcB"/>
    <hyperlink ref="BI60" r:id="rId207" display="https://www.sabresafety.com.br/produto/solucao-azul-de-metileno-alcoolica-1000ml/"/>
    <hyperlink ref="J61" r:id="rId208" display="https://sipac.sig.ufal.br/sipac/visualizaMaterial.do?popup=true&amp;id=10448&amp;acao=12"/>
    <hyperlink ref="J62" r:id="rId209" display="https://sipac.sig.ufal.br/sipac/visualizaMaterial.do?popup=true&amp;id=23355&amp;acao=12"/>
    <hyperlink ref="AW62" r:id="rId210" display="https://www.glasslab.com.br/reagentes-e-meios/bicarbonato-de-sodio-pa-500g?parceiro=6858&amp;gclid=Cj0KCQiAx6ugBhCcARIsAGNmMbjZvXnRdDbePHETwEmytepCSQbm8zOEOB5HoezKp8wH_DtxoJ6dyHsaAtZFEALw_wcB"/>
    <hyperlink ref="BC62" r:id="rId211" display="https://www.labimport.com.br/reagentes/bicarbonato-de-sodio/bicarbonato-de-sodio-pa-500g-11755"/>
    <hyperlink ref="BI62" r:id="rId212" display="https://www.acsreagentes.com.br/bicarbonato-de-sodio-pa-500g-acs-cientifica?utm_source=Site&amp;utm_medium=GoogleMerchant&amp;utm_campaign=GoogleMerchant"/>
    <hyperlink ref="J63" r:id="rId213" display="https://sipac.sig.ufal.br/sipac/visualizaMaterial.do?popup=true&amp;id=23356&amp;acao=12"/>
    <hyperlink ref="AW63" r:id="rId214" display="https://www.glasslab.com.br/reagentes-e-meios/biftalato-de-potassio-pa-500g?parceiro=6858&amp;gclid=Cj0KCQiAx6ugBhCcARIsAGNmMbiOAsl0U3S8vbhYkqSSMJ6QEfTqOq1fXiGTx_DAy9x5RWMgTgdjD44aAqifEALw_wcB"/>
    <hyperlink ref="BC63" r:id="rId215" display="https://www.acsreagentes.com.br/biftalato-de-potassio-pa-500g-acs-cientifica?utm_source=Site&amp;utm_medium=GoogleMerchant&amp;utm_campaign=GoogleMerchant&amp;gclid=Cj0KCQiAx6ugBhCcARIsAGNmMbjIwm1BSkuqwPssQRvLFvz5YH5ucQ-mwplI379ugZCJiGimFQwPEWwaAsHvEALw_wcB"/>
    <hyperlink ref="BI63" r:id="rId216" display="https://www.laderquimica.com.br/biftalato-potassio-pa-500gr?utm_source=Site&amp;utm_medium=GoogleMerchant&amp;utm_campaign=GoogleMerchant&amp;srsltid=Ad5pg_GXhqJxdwf1afx-NIUIwSyz-R2sjVYf8MUEjMQ698tofSt8cy-3f_E"/>
    <hyperlink ref="J64" r:id="rId217" display="https://sipac.sig.ufal.br/sipac/visualizaMaterial.do?popup=true&amp;id=30405&amp;acao=12"/>
    <hyperlink ref="J65" r:id="rId218" display="https://sipac.sig.ufal.br/sipac/visualizaMaterial.do?popup=true&amp;id=30415&amp;acao=12"/>
    <hyperlink ref="AW65" r:id="rId219" display="https://www.acsreagentes.com.br/biotina-99-vitamina-h-25g-acs-cientifica?gclid=CjwKCAjwiOCgBhAgEiwAjv5whAKqrfpQcSxjmmEsrD3bVF_sxB5k5gNjftIPhWM_OjdQXvhxXRspyRoC9gIQAvD_BwE"/>
    <hyperlink ref="J66" r:id="rId220" display="https://sipac.sig.ufal.br/sipac/visualizaMaterial.do?popup=true&amp;id=23675&amp;acao=12"/>
    <hyperlink ref="AW66" r:id="rId221" display="https://www.acsreagentes.com.br/brometo-de-cetiltrimetilamonio-ctab-100g-acs-cientifica?utm_source=Site&amp;utm_medium=GoogleMerchant&amp;utm_campaign=GoogleMerchant"/>
    <hyperlink ref="BC66" r:id="rId222" display="https://www.labimport.com.br/reagentes/brometo-de-cetiltrimetilamonio/brometo-de-cetiltrimetilamonio-ctab-500g-13987"/>
    <hyperlink ref="J67" r:id="rId223" display="https://sipac.sig.ufal.br/sipac/visualizaMaterial.do?popup=true&amp;id=23674&amp;acao=12"/>
    <hyperlink ref="AW67" r:id="rId224" display="https://www.acsreagentes.com.br/brometo-de-potassio-pa-250g-acs-cientifica?gclid=Cj0KCQiAx6ugBhCcARIsAGNmMbjbHIxdq1eWApvs0yeAPFAmW42ztivmoZdnC2jyBRmVy7sNB74yoKwaAr-UEALw_wcB"/>
    <hyperlink ref="BC67" r:id="rId225" display="https://www.glasslab.com.br/reagentes-e-meios/brometo-de-potassio-pa-acs-500g?parceiro=6858&amp;srsltid=Ad5pg_EPB8X9NZaEPypJToNC70A1BMBaB9N3697_3zGZv_vpQQdyL3xPq3o"/>
    <hyperlink ref="BI67" r:id="rId226" display="https://www.lojasynth.com/reagentes-analiticosmaterias-primas/reagentes-analiticosmaterias-primas/brometo-de-potassio-p-a-a-c-s?parceiro=2827&amp;gclid=Cj0KCQiAx6ugBhCcARIsAGNmMbiihneURXjb2l3Qud58zGKhH03g0TCPDGO408y-grqJDTyuk8QvH7saAtvHEALw_wcB&amp;variant_id=301311"/>
    <hyperlink ref="J68" r:id="rId227" display="https://sipac.sig.ufal.br/sipac/visualizaMaterial.do?popup=true&amp;id=23015&amp;acao=12"/>
    <hyperlink ref="AW68" r:id="rId228" display="https://www.glasslab.com.br/reagentes-e-meios/agar-infusao-cerebro-e-coracao-bhi-frasco-500g-k25-610007-kasvi?parceiro=6858&amp;gclid=Cj0KCQiAx6ugBhCcARIsAGNmMbjnysT0QZj9B1VqG6ew_tvPz5rIZF_In_YzVfqWNZaqLYxux-i8Z8IaAr1wEALw_wcB"/>
    <hyperlink ref="BC68" r:id="rId229" display="https://www.lkpdiagnosticos.com.br/meios-de-cultura/k25-610008-caldo-infusao-cerebro-e-coracao-frasco-500g?parceiro=3898"/>
    <hyperlink ref="BI68" r:id="rId230" display="https://www.vitchlab.com.br/laboratorial/meio-de-cultivo/caldo-infusao-cerebro-coracao-bhib-frasco-500-g?parceiro=7632&amp;srsltid=Ad5pg_HSRwETWWTqGHQnN1NbdwjIDwS3DOs5WcnmmW8rg6VziNC5cLj4L1s"/>
    <hyperlink ref="J69" r:id="rId231" display="https://sipac.sig.ufal.br/sipac/visualizaMaterial.do?popup=true&amp;id=28149&amp;acao=12"/>
    <hyperlink ref="AW69" r:id="rId232" display="https://www.lkpdiagnosticos.com.br/meios-de-cultura/7146-caldo-nutriente-nutrient-broth-500g?parceiro=3898"/>
    <hyperlink ref="BC69" r:id="rId233" display="https://www.orionprodutoscientificos.com.br/caldo-nutriente-frasco-500g-himedia?utm_source=Site&amp;utm_medium=GoogleMerchant&amp;utm_campaign=GoogleMerchant"/>
    <hyperlink ref="BI69" r:id="rId234" display="https://www.lojanetlab.com.br/meios-de-cultura/agar/agar-nutriente-frasco-500g-k25-610036-kasvi?parceiro=7105&amp;srsltid=Ad5pg_EsbkflI1MkvBmmJssXIDUcuJrq2K9F_YQn7ETPIcCr7qbo3QNtUGg"/>
    <hyperlink ref="J70" r:id="rId235" display="https://sipac.sig.ufal.br/sipac/visualizaMaterial.do?popup=true&amp;id=28150&amp;acao=12"/>
    <hyperlink ref="AW70" r:id="rId236" display="https://www.orionprodutoscientificos.com.br/meio-tioglicolato-com-indicador-frasco-500g-himedia?utm_source=Site&amp;utm_medium=GoogleMerchant&amp;utm_campaign=GoogleMerchantt"/>
    <hyperlink ref="BC70" r:id="rId237" display="https://www.vitchlab.com.br/meios-e-reagentes/agar-meio-de-cultura/meio-tioglicolato-com-indicador-frasco-500g-m009-500g"/>
    <hyperlink ref="J71" r:id="rId238" display="https://sipac.sig.ufal.br/sipac/visualizaMaterial.do?popup=true&amp;id=30406&amp;acao=12"/>
    <hyperlink ref="AW71" r:id="rId239" display="https://ludwigbiotec.com.br/loja/produto/calmagita-paacs/739"/>
    <hyperlink ref="BC71" r:id="rId240" display="https://www.didaticasp.com.br/produto/calmagita-pa-acs-25g-cas-3147-14-6.html"/>
    <hyperlink ref="BI71" r:id="rId241" display="https://www.orionprodutoscientificos.com.br/calmagita-p-a-acs-25-g-fabricante-neon?utm_source=Site&amp;utm_medium=GoogleMerchant&amp;utm_campaign=GoogleMerchant"/>
    <hyperlink ref="J72" r:id="rId242" display="https://sipac.sig.ufal.br/sipac/visualizaMaterial.do?popup=true&amp;id=23695&amp;acao=12"/>
    <hyperlink ref="AW72" r:id="rId243" display="https://www.glasslab.com.br/reagentes-e-meios/carbonato-de-amonio-pa-acs-500g?parceiro=6858&amp;gclid=Cj0KCQiAx6ugBhCcARIsAGNmMbhzwQHJFsI_C9MYhzIQTdQD4I0etqVxWqzLTz97re939JsDwrf5PAoaArWTEALw_wcB"/>
    <hyperlink ref="BC72" r:id="rId244" display="https://www.orionprodutoscientificos.com.br/carbonato-de-amonio-p-a-500-g-fabricante-neon?utm_source=Site&amp;utm_medium=GoogleMerchant&amp;utm_campaign=GoogleMerchant"/>
    <hyperlink ref="BI72" r:id="rId245" display="https://www.didaticasp.com.br/produto/carbonato-de-amonio-pa-1kg-cas-10361-29-2.html"/>
    <hyperlink ref="J73" r:id="rId246" display="https://sipac.sig.ufal.br/sipac/visualizaMaterial.do?popup=true&amp;id=23699&amp;acao=12"/>
    <hyperlink ref="AW73" r:id="rId247" display="https://www.acsreagentes.com.br/carbonato-de-bario-pa-250g-acs-cientifica?utm_source=Site&amp;utm_medium=GoogleMerchant&amp;utm_campaign=GoogleMerchant"/>
    <hyperlink ref="BC73" r:id="rId248" display="https://www.glasslab.com.br/reagentes-e-meios/carbonato-de-bario-pa-250g?parceiro=6858&amp;srsltid=Ad5pg_HDYO2KmmquLBCYMZgPCgXLHPqS94Pl7Bu5s2rNpShcpIyBFXf_c1w"/>
    <hyperlink ref="J74" r:id="rId249" display="https://sipac.sig.ufal.br/sipac/visualizaMaterial.do?popup=true&amp;id=23703&amp;acao=12"/>
    <hyperlink ref="AW74" r:id="rId250" display="https://www.glasslab.com.br/reagentes-e-meios/carbonato-de-calcio-pa-500g?parceiro=6858&amp;gclid=Cj0KCQiAx6ugBhCcARIsAGNmMbj881n9F-vDjirdc-XmLZ-Ocqf16r5kTE3ZYI_y0hq1sUXqv3kDWg0aAnKCEALw_wcB"/>
    <hyperlink ref="BC74" r:id="rId251" display="https://www.acsreagentes.com.br/carbonato-de-calcio-pa-500g-acs-cientifica?utm_source=Site&amp;utm_medium=GoogleMerchant&amp;utm_campaign=GoogleMerchant&amp;gclid=Cj0KCQiAx6ugBhCcARIsAGNmMbjRsBmKa_DCQT5OXNheKMhWOi3p2zKpxEAVtkhkPWm8A9mIkudeOQcaAqNrEALw_wcB"/>
    <hyperlink ref="BI74" r:id="rId252" display="https://www.laderquimica.com.br/carbonato-de-calcio-pa-500-g-neon?utm_source=Site&amp;utm_medium=GoogleMerchant&amp;utm_campaign=GoogleMerchant&amp;srsltid=Ad5pg_ExSKFBFv2XiVr9F8VOnQTGMFmo6fDPFQnaMTBATIubBXJy4WtXGhI"/>
    <hyperlink ref="J75" r:id="rId253" display="https://sipac.sig.ufal.br/sipac/visualizaMaterial.do?popup=true&amp;id=30771&amp;acao=12"/>
    <hyperlink ref="AW75" r:id="rId254" display="https://www.acsreagentes.com.br/carbonato-de-estroncio-pa-250g-acs-cientifica?utm_source=Site&amp;utm_medium=GoogleMerchant&amp;utm_campaign=GoogleMerchant"/>
    <hyperlink ref="BC75" r:id="rId255" display="https://www.glasslab.com.br/reagentes-e-meios/carbonato-de-estroncio-pa-250g?parceiro=6858&amp;srsltid=Ad5pg_HZcWkl5aue_weZe-JmSs2DgN9r-s1DowwKtU6cDIwqE0IJJrme0Ls"/>
    <hyperlink ref="BI75" r:id="rId256" display="https://www.lojaprolab.com.br/carbonato-de-estroncio-pa-81317"/>
    <hyperlink ref="J76" r:id="rId257" display="https://sipac.sig.ufal.br/sipac/visualizaMaterial.do?popup=true&amp;id=23704&amp;acao=12"/>
    <hyperlink ref="AW76" r:id="rId258" display="https://www.acsreagentes.com.br/carbonato-de-litio-pa-250g-acs-cientifica?gclid=Cj0KCQiAx6ugBhCcARIsAGNmMbiANReA7zi27wEbfkHLFiq275TxZBEPHQXbEoromcSbtbHglNMeaRQaArZIEALw_wcB"/>
    <hyperlink ref="BC76" r:id="rId259" display="https://www.glasslab.com.br/reagentes-e-meios/carbonato-de-litio-pa-500g?parceiro=6858&amp;srsltid=Ad5pg_FPNJOd01MCkB2wF-J-SV4bXWfLSHZb-JBO-wrYe86-p786iMcXdPY"/>
    <hyperlink ref="BI76" r:id="rId260" display="https://www.lojaprolab.com.br/carbonato-de-litio-pa-81318"/>
    <hyperlink ref="J77" r:id="rId261" display="https://sipac.sig.ufal.br/sipac/visualizaMaterial.do?popup=true&amp;id=23705&amp;acao=12"/>
    <hyperlink ref="AW77" r:id="rId262" display="https://www.lojasynth.com/reagentes-analiticosmaterias-primas/reagentes-analiticosmaterias-primas/carbonato-de-magnesio-basico-p-a?parceiro=2827&amp;variant_id=1079&amp;gclid=Cj0KCQiAx6ugBhCcARIsAGNmMbhGcwoJuSJbIlXE60GhOQE1ycgtvePHfmmB8wDDXZLUOUlFOwAb8TIaAsw9EALw_wcB"/>
    <hyperlink ref="J78" r:id="rId263" display="https://sipac.sig.ufal.br/sipac/visualizaMaterial.do?popup=true&amp;id=23500&amp;acao=12"/>
    <hyperlink ref="AW78" r:id="rId264" display="https://www.didaticasp.com.br/produto/carbonato-de-potassio-anidro-em-po-pa-500g-cas-584-08-7-pfssp-concentracao-98-densidade-100.html"/>
    <hyperlink ref="BC78" r:id="rId265" display="https://www.glasslab.com.br/reagentes-e-meios/carbonato-de-potassio-anidro-pa-1kg"/>
    <hyperlink ref="J79" r:id="rId266" display="https://sipac.sig.ufal.br/sipac/visualizaMaterial.do?popup=true&amp;id=30770&amp;acao=12"/>
    <hyperlink ref="AW79" r:id="rId267" display="https://www.orionprodutoscientificos.com.br/carbonato-de-sodio-decahidratado-10h2o-pa-250g-exodo-cientifica"/>
    <hyperlink ref="J80" r:id="rId268" display="https://sipac.sig.ufal.br/sipac/visualizaMaterial.do?popup=true&amp;id=23488&amp;acao=12"/>
    <hyperlink ref="AW80" r:id="rId269" display="https://www.laderquimica.com.br/carbonato-de-sodio-anidro-pa-acs-500g-dinamica?utm_source=Site&amp;utm_medium=GoogleMerchant&amp;utm_campaign=GoogleMerchant&amp;srsltid=Ad5pg_HHagIfhBl2TY0bDyAdJbSkFBMk4ahIi9_WoucZ2MxzTW-kwK-gjMM"/>
    <hyperlink ref="BC80" r:id="rId270" display="https://www.orionprodutoscientificos.com.br/carbonato-de-sodio-anidro-pa-500g-exodo-cientifica?utm_source=Site&amp;utm_medium=GoogleMerchant&amp;utm_campaign=GoogleMerchant"/>
    <hyperlink ref="BI80" r:id="rId271" display="https://www.glasslab.com.br/reagentes-e-meios/carbonato-de-sodio-anidro-pa-1kg"/>
    <hyperlink ref="J81" r:id="rId272" display="https://sipac.sig.ufal.br/sipac/visualizaMaterial.do?popup=true&amp;id=23484&amp;acao=12"/>
    <hyperlink ref="AW81" r:id="rId273" display="https://www.glasslab.com.br/reagentes-e-meios/carboximetilcelulose-sal-sodico-pa-250g?parceiro=6858&amp;srsltid=Ad5pg_H5yYzTi4_9BIfn052xJd4rAuQ2L5uDP97HqzH45ssjrCEIsZEPngQ"/>
    <hyperlink ref="BC81" r:id="rId274" display="https://www.acsreagentes.com.br/carboximetilcelulose-sal-sodico-pa-500g-acs-cientifica"/>
    <hyperlink ref="BI81" r:id="rId275" display="https://www.labimport.com.br/carboximetilcelulose1057/"/>
    <hyperlink ref="J82" r:id="rId276" display="https://sipac.sig.ufal.br/sipac/visualizaMaterial.do?popup=true&amp;id=23478&amp;acao=12"/>
    <hyperlink ref="AW82" r:id="rId277" display="https://www.acsreagentes.com.br/carvao-ativo-em-po-pa-5kg-acs-cientifica"/>
    <hyperlink ref="BC82" r:id="rId278" display="https://www.glasslab.com.br/reagentes-e-meios/carvao-ativo-em-po-pa-500g?parceiro=6858"/>
    <hyperlink ref="BI82" r:id="rId279" display="https://www.didaticasp.com.br/carvao-ativo-em-po-pa-500g"/>
    <hyperlink ref="J83" r:id="rId280" display="https://sipac.sig.ufal.br/sipac/visualizaMaterial.do?popup=true&amp;id=23474&amp;acao=12"/>
    <hyperlink ref="AW83" r:id="rId281" display="https://www.didaticasp.com.br/caseina-pa-500g"/>
    <hyperlink ref="BC83" r:id="rId282" display="https://www.labshow.com.br/loja/Labshow/produto/1469/caseina-pa-dinamica"/>
    <hyperlink ref="BI83" r:id="rId283" display="https://www.lojanetlab.com.br/reagentes/pa/caseina-pa"/>
    <hyperlink ref="J84" r:id="rId284" display="https://sipac.sig.ufal.br/sipac/visualizaMaterial.do?popup=true&amp;id=22744&amp;acao=12"/>
    <hyperlink ref="AW84" r:id="rId285" display="https://www.acsreagentes.com.br/cloreto-de-aluminio-6h2o-pa-500g-acs-cientifica"/>
    <hyperlink ref="BC84" r:id="rId286" display="https://www.glasslab.com.br/reagentes-e-meios/cloreto-de-aluminio-6h2o-pa-500g?parceiro=6858"/>
    <hyperlink ref="BI84" r:id="rId287" display="https://www.laderquimica.com.br/cloreto-de-aluminio-6h2o-pa-500g-dinamica"/>
    <hyperlink ref="J85" r:id="rId288" display="https://sipac.sig.ufal.br/sipac/visualizaMaterial.do?popup=true&amp;id=22745&amp;acao=12"/>
    <hyperlink ref="AW85" r:id="rId289" display="https://www.glasslab.com.br/reagentes-e-meios/cloreto-de-amonio-pa-acs-500g?parceiro=6858"/>
    <hyperlink ref="BC85" r:id="rId290" location=".ZAuMZx_MJhE" display="https://labtrade.com.br/produto/cloreto-de-amonio-pa/#.ZAuMZx_MJhE"/>
    <hyperlink ref="J86" r:id="rId291" display="https://sipac.sig.ufal.br/sipac/visualizaMaterial.do?popup=true&amp;id=22746&amp;acao=12"/>
    <hyperlink ref="AW86" r:id="rId292" display="https://www.laderquimica.com.br/cloreto-de-bario-pa-acs-500g-dinamica"/>
    <hyperlink ref="BC86" r:id="rId293" display="https://www.labimport.com.br/reagentes/cloreto-de-bario/cloreto-de-bario-2h2o-pa-acs-500g"/>
    <hyperlink ref="BI86" r:id="rId294" display="https://www.lojaprolab.com.br/cloreto-de-bario-2h2o-pa-acs-81432"/>
    <hyperlink ref="J87" r:id="rId295" display="https://sipac.sig.ufal.br/sipac/visualizaMaterial.do?popup=true&amp;id=22747&amp;acao=12"/>
    <hyperlink ref="AW87" r:id="rId296" display="https://www.didaticasp.com.br/produto/cloreto-de-benzoila-1l-cas-98-88-4-ssp.html"/>
    <hyperlink ref="BC87" r:id="rId297" display="https://www.acsreagentes.com.br/cloreto-de-benzoila-ps-1l-acs-cientifica"/>
    <hyperlink ref="J88" r:id="rId298" display="https://sipac.sig.ufal.br/sipac/visualizaMaterial.do?popup=true&amp;id=22748&amp;acao=12"/>
    <hyperlink ref="AW88" r:id="rId299" display="https://www.acsreagentes.com.br/cloreto-de-calcio-2h2o-pa-1kg-acs-cientifica?utm_source=Site&amp;utm_medium=GoogleMerchant&amp;utm_campaign=GoogleMerchant"/>
    <hyperlink ref="BC88" r:id="rId300" display="https://www.glasslab.com.br/reagentes-e-meios/cloreto-de-calcio-2h2o-pa-1kg?parceiro=6858&amp;srsltid=Ad5pg_FsQ-fAcR1TQQXHUGocX_zvAyj9bv2nqpVkYAnPvxrsduHQqTYAnx8"/>
    <hyperlink ref="BI88" r:id="rId301" display="https://www.laderquimica.com.br/cloreto-de-calcio-dihidratado-pa-1kg-dinamica?utm_source=Site&amp;utm_medium=GoogleMerchant&amp;utm_campaign=GoogleMerchant&amp;srsltid=Ad5pg_H4buK4qE9tEDI_cNL9zvZv-C_m5FDOAfp6d29gUZDBk0BQ4VMRVEM"/>
    <hyperlink ref="J89" r:id="rId302" display="https://sipac.sig.ufal.br/sipac/visualizaMaterial.do?popup=true&amp;id=30769&amp;acao=12"/>
    <hyperlink ref="AW89" r:id="rId303" display="https://www.acsreagentes.com.br/cloreto-de-chumbo-ii-pa-250g-acs-cientifica?utm_source=Site&amp;utm_medium=GoogleMerchant&amp;utm_campaign=GoogleMerchant"/>
    <hyperlink ref="BC89" r:id="rId304" display="https://www.laderquimica.com.br/cloreto-de-chumbo-ii-pa-500g-vetec?utm_source=Site&amp;utm_medium=GoogleMerchant&amp;utm_campaign=GoogleMerchant&amp;srsltid=Ad5pg_FGRuEyIu2kCjP6MInFVagmkKy_ayj83uEzvSqpAiiAqzcx2okw4fk"/>
    <hyperlink ref="BI89" r:id="rId305" display="https://www.didaticasp.com.br/produto/cloreto-de-chumbo-ii-pa-500g-cas-7758-95-4.html"/>
    <hyperlink ref="J90" r:id="rId306" display="https://sipac.sig.ufal.br/sipac/visualizaMaterial.do?popup=true&amp;id=22757&amp;acao=12"/>
    <hyperlink ref="AW90" r:id="rId307" display="https://www.glasslab.com.br/reagentes-e-meios/cloreto-de-cobalto-ii-oso-6h2o-pa-acs-100g?parceiro=6858&amp;gclid=Cj0KCQjwk7ugBhDIARIsAGuvgPYazDFPvgbku3ftWhvKiUpbfZyLy0qhSAgdvG28D5DzdZy0vm4ressaAuQhEALw_wcB"/>
    <hyperlink ref="BC90" r:id="rId308" display="https://www.acsreagentes.com.br/cloreto-de-cobalto-ii-oso-6-h2o-pa-acs-100g-acs-cientifica?utm_source=Site&amp;utm_medium=GoogleMerchant&amp;utm_campaign=GoogleMerchant&amp;gclid=Cj0KCQjwk7ugBhDIARIsAGuvgPaP4JRWm8DGSKyRjPXMfSzaQjN5cJivvRMhLqF-eovyBoXJBxrxcWIaAv9kEALw_wcB"/>
    <hyperlink ref="BI90" r:id="rId309" display="https://www.laderquimica.com.br/cloreto-de-cobalto-ii-hexahidratado-pa-100g-neon?utm_source=Site&amp;utm_medium=GoogleMerchant&amp;utm_campaign=GoogleMerchant&amp;srsltid=Ad5pg_H04jKrPZh9KK0VVvrOqr_oIqh7fsYIaK_766u3ISfiAI6ePZjfVtA"/>
    <hyperlink ref="J91" r:id="rId310" display="https://sipac.sig.ufal.br/sipac/visualizaMaterial.do?popup=true&amp;id=22760&amp;acao=12"/>
    <hyperlink ref="AW91" r:id="rId311" display="https://www.acsreagentes.com.br/cloreto-de-estanho-ii-anidro-pa-100g-acs-cientifica?utm_source=Site&amp;utm_medium=GoogleMerchant&amp;utm_campaign=GoogleMerchant"/>
    <hyperlink ref="J92" r:id="rId312" display="https://sipac.sig.ufal.br/sipac/visualizaMaterial.do?popup=true&amp;id=30416&amp;acao=12"/>
    <hyperlink ref="AW92" r:id="rId313" display="https://www.glasslab.com.br/reagentes-e-meios/cloreto-de-ferro-iii-ico-6h2o-pa-acs-250g?parceiro=6858&amp;srsltid=Ad5pg_ENSnWLKLB4Q_JsBKa3Yw_dX8mYsP6DLNFmQC3PGz3167PlAhx17pU"/>
    <hyperlink ref="BC92" r:id="rId314" display="https://www.glasslab.com.br/reagentes-e-meios/cloreto-de-ferro-iii-ico-6h2o-pa-acs-250g?parceiro=6858&amp;gclid=Cj0KCQjwk7ugBhDIARIsAGuvgPYTiII8hr5sEGlaQjBEe50c1Q-Wd43mDZg-UhV3QDN5k4VFZtwWoJoaAmOrEALw_wcB"/>
    <hyperlink ref="BI92" r:id="rId315" location="spd=0" display="https://www.google.com/search?q=Cloreto+de+Ferro+III+ICO+%286H2O%29&amp;client=firefox-b-lm&amp;sa=X&amp;biw=1440&amp;bih=747&amp;tbm=shop&amp;sxsrf=AJOqlzUD4pH0O4V6wkJR1HebWPISSegtOQ%3A1678710104877&amp;ei=WBUPZMXmNMXN1sQP35-zmA8&amp;ved=0ahUKEwjF8uy78tj9AhXFppUCHd_PDPMQ4dUDCAc&amp;uact=5&amp;oq=Cloreto+de+Ferro+III+ICO+%286H2O%29&amp;gs_lcp=Cgtwcm9kdWN0cy1jYxADMggIABCiBBCwA0oECEEYAVCTA1iTA2DxBGgBcAB4AIABAIgBAJIBAJgBAKABAqABAcgBAcABAQ&amp;sclient=products-cc#spd=0"/>
    <hyperlink ref="J93" r:id="rId316" display="https://sipac.sig.ufal.br/sipac/visualizaMaterial.do?popup=true&amp;id=22765&amp;acao=12"/>
    <hyperlink ref="AW93" r:id="rId317" display="https://www.acsreagentes.com.br/cloreto-de-ferro-iii-ico-anidro-pa-500g-acs-cientifica?utm_source=Site&amp;utm_medium=GoogleMerchant&amp;utm_campaign=GoogleMerchant"/>
    <hyperlink ref="BC93" r:id="rId318" display="https://www.glasslab.com.br/reagentes-e-meios/cloreto-de-ferro-iii-ico-anidro-pa-500g?parceiro=6858&amp;srsltid=Ad5pg_H5iaemON2PMSXroAXyeSNJeiirsn2nAtG6NuSTISr7QGoy9t8jP6c"/>
    <hyperlink ref="J94" r:id="rId319" display="https://sipac.sig.ufal.br/sipac/visualizaMaterial.do?popup=true&amp;id=25860&amp;acao=12"/>
    <hyperlink ref="J95" r:id="rId320" display="https://sipac.sig.ufal.br/sipac/visualizaMaterial.do?popup=true&amp;id=22768&amp;acao=12"/>
    <hyperlink ref="AW95" r:id="rId321" display="https://www.glasslab.com.br/reagentes-e-meios/cloreto-de-magnesio-6h2o-pa-acs-500g?parceiro=6858&amp;gclid=Cj0KCQjwk7ugBhDIARIsAGuvgPb2u6em8jdBjbUKqC5enRxs7tRLE5ZfBqmSNlF6-7g4tWIjgYOGQjsaAhOzEALw_wcB"/>
    <hyperlink ref="BC95" r:id="rId322" display="https://www.orionprodutoscientificos.com.br/produto/cloreto-de-magnesio-6h2o-pa-acs-500g-exodo-cientifica.html?utm_source=Site&amp;utm_medium=GoogleMerchant&amp;utm_campaign=GoogleMerchant"/>
    <hyperlink ref="BI95" r:id="rId323" display="https://www.mmcomercio.net.br/produto/cloreto-de-magnesio-6h2o-pa-acs-1kg-exodo.html?utm_source=Site&amp;utm_medium=GoogleMerchant&amp;utm_campaign=GoogleMerchant&amp;srsltid=Ad5pg_G1BeErNrGJAskjxjsZ12lFlpkI0VZdFOR76PrvEFtB3mpEQLGUVXA"/>
    <hyperlink ref="J96" r:id="rId324" display="https://sipac.sig.ufal.br/sipac/visualizaMaterial.do?popup=true&amp;id=24778&amp;acao=12"/>
    <hyperlink ref="AW96" r:id="rId325" display="https://www.lojaprolab.com.br/cloreto-de-manganes-ii-oso-4h2o-pa-acs-81452"/>
    <hyperlink ref="BC96" r:id="rId326" display="https://www.orionprodutoscientificos.com.br/cloreto-de-manganes-oso-4h2o-pa-acs-500g-exodo-cientifica?utm_source=Site&amp;utm_medium=GoogleMerchant&amp;utm_campaign=GoogleMerchant"/>
    <hyperlink ref="BI96" r:id="rId327" display="https://www.didaticasp.com.br/cloreto-de-manganes-ii-oso-4h2o-pa-500g"/>
    <hyperlink ref="J97" r:id="rId328" display="https://sipac.sig.ufal.br/sipac/visualizaMaterial.do?popup=true&amp;id=22775&amp;acao=12"/>
    <hyperlink ref="AW97" r:id="rId329" display="https://www.orionprodutoscientificos.com.br/cloreto-de-potassio-pa-500g-exodo-cientifica?utm_source=Site&amp;utm_medium=GoogleMerchant&amp;utm_campaign=GoogleMerchant"/>
    <hyperlink ref="BC97" r:id="rId330" display="https://www.cromoslab.com.br/linha-labscience/reagentes-quimicos-e-meios-de-cultura/cloreto-de-potassio-pa-acs-1000gr-acs-cientifica?parceiro=3365&amp;gclid=Cj0KCQjwk7ugBhDIARIsAGuvgPb2747PBJyu34EhI080AbqcVxt3B4zaID30jKQwLVzMnXONd20683caAijKEALw_wcB"/>
    <hyperlink ref="BI97" r:id="rId331" display="https://www.lojasynth.com/reagentes-analiticosmaterias-primas/reagentes-analiticosmaterias-primas/cloreto-de-potassio-p-a"/>
    <hyperlink ref="J98" r:id="rId332" display="https://sipac.sig.ufal.br/sipac/visualizaMaterial.do?popup=true&amp;id=13067&amp;acao=12"/>
    <hyperlink ref="AW98" r:id="rId333" display="https://www.acsreagentes.com.br/cloreto-de-prata-pa-25g-acs-cientifica?gclid=Cj0KCQjwk7ugBhDIARIsAGuvgPZcv1GvhRcvOBhUwcaC4sLVOL3jI6Wo96vSUPeUo4L4ZjzWDBxq8X0aAla9EALw_wcB"/>
    <hyperlink ref="BC98" r:id="rId334" display="https://www.lojasynth.com/reagentes-analiticosmaterias-primas/reagentes-analiticosmaterias-primas/cloreto-de-prata-p-a?parceiro=2827&amp;variant_id=301285&amp;gclid=Cj0KCQjwk7ugBhDIARIsAGuvgPZLeoy9-CWGmk8lB5-iv6goEUYMt2XRmLPplF5-0THtSHptTDEu2k8aAmbSEALw_wcB"/>
    <hyperlink ref="BI98" r:id="rId335" display="https://www.didaticasp.com.br/cloreto-de-prata-pa-100g"/>
    <hyperlink ref="J99" r:id="rId336" display="https://sipac.sig.ufal.br/sipac/visualizaMaterial.do?popup=true&amp;id=22780&amp;acao=12"/>
    <hyperlink ref="AW99" r:id="rId337" display="https://www.glasslab.com.br/reagentes-e-meios/cloreto-de-sodio-cristal-pa-acs-1kg?parceiro=6858&amp;gclid=Cj0KCQjwk7ugBhDIARIsAGuvgPat0T7verY5MmbQC8IQU2XsUI9TcVoxoj82hzJ7JR3mrkG0p7hHZNMaAhBmEALw_wcB"/>
    <hyperlink ref="BC99" r:id="rId338" display="https://www.laderquimica.com.br/cloreto-de-sodio-pa-1-kg-dinamica?utm_source=Site&amp;utm_medium=GoogleMerchant&amp;utm_campaign=GoogleMerchant&amp;srsltid=Ad5pg_HIRTif9lj1kbty8la75SctvS1D_w3E1DF6dSeScuc_Cb_8i-c5GBk"/>
    <hyperlink ref="BI99" r:id="rId339" display="https://www.mmcomercio.net.br/produto/cloreto-de-sodio-99-pa-acs-1kg-exodo.html?utm_source=Site&amp;utm_medium=GoogleMerchant&amp;utm_campaign=GoogleMerchant&amp;srsltid=Ad5pg_Hihn5PhF2HbtrquT19_0--MWh_SHDWbB2cdJzKcX0BXnTba1sQ0oM"/>
    <hyperlink ref="J100" r:id="rId340" display="https://sipac.sig.ufal.br/sipac/visualizaMaterial.do?popup=true&amp;id=22784&amp;acao=12"/>
    <hyperlink ref="AW100" r:id="rId341" display="https://www.glasslab.com.br/reagentes-e-meios/cloreto-de-zinco-anidro-pa-acs-500g?parceiro=6858&amp;gclid=Cj0KCQjwk7ugBhDIARIsAGuvgPYgu8rBXA1g6emavfrWceBOeL5GhSnz0WRO9ceiWCEuxVkchJnjhqEaAnvpEALw_wcB"/>
    <hyperlink ref="BC100" r:id="rId342" display="https://www.quimicenter.com.br/reagentes/acido-citrico-1h2o-pa-acs-1000g-exodo?parceiro=2837&amp;gclid=Cj0KCQjwk7ugBhDIARIsAGuvgPZNSk2svxRxlAG5wEnQlTZt_pz3L6sx5WAW1MsFul-vTF14EcLI_H0aAs6kEALw_wcB"/>
    <hyperlink ref="BI100" r:id="rId343" display="https://www.labimport.com.br/reagentes/cloreto-de-zinco/cloreto-de-zinco-anidro-pa-acs-500g"/>
    <hyperlink ref="J101" r:id="rId344" display="https://sipac.sig.ufal.br/sipac/visualizaMaterial.do?popup=true&amp;id=30773&amp;acao=12"/>
    <hyperlink ref="AW101" r:id="rId345" display="https://www.acsreagentes.com.br/cloridrato-de-tiamina-98-vitamina-b1-pa-100g-acs-cientifica?utm_source=Site&amp;utm_medium=GoogleMerchant&amp;utm_campaign=GoogleMerchant"/>
    <hyperlink ref="BC101" r:id="rId346" display="https://www.labimport.com.br/reagentes/cloridrato-de-tiamina/cloridrato-de-tiamina-98-vitamina-b1-pa-25g-11883"/>
    <hyperlink ref="J102" r:id="rId347" display="https://sipac.sig.ufal.br/sipac/visualizaMaterial.do?popup=true&amp;id=30779&amp;acao=12"/>
    <hyperlink ref="AW102" r:id="rId348" display="https://www.didaticasp.com.br/produto/cloroformio-d-1-deuterado-estabilizado-com-ag-100ml.html"/>
    <hyperlink ref="J103" r:id="rId349" display="https://sipac.sig.ufal.br/sipac/visualizaMaterial.do?popup=true&amp;id=22786&amp;acao=12"/>
    <hyperlink ref="AW103" r:id="rId350" display="https://www.glasslab.com.br/reagentes-e-meios/cloroformio-pa-acs-1l"/>
    <hyperlink ref="J104" r:id="rId351" display="https://sipac.sig.ufal.br/sipac/visualizaMaterial.do?popup=true&amp;id=25144&amp;acao=12"/>
    <hyperlink ref="AW104" r:id="rId352" display="https://www.didaticasp.com.br/produto/cobre-metalico-em-po-pa-100g-cas-7440-50-8.html"/>
    <hyperlink ref="BC104" r:id="rId353" display="https://ludwigbiotec.com.br/loja/produto/cobre-metalico-em-po-p-a-100-g/1854"/>
    <hyperlink ref="J105" r:id="rId354" display="https://sipac.sig.ufal.br/sipac/visualizaMaterial.do?popup=true&amp;id=22796&amp;acao=12"/>
    <hyperlink ref="AW105" r:id="rId355" display="https://www.h4prospera.com.br/conjunto-coloracao-panotico-rapido-laborclin-?utm_source=google&amp;utm_medium=Shopping&amp;utm_campaign=conjunto-coloracao-panotico-rapido-laborclin-&amp;inStock"/>
    <hyperlink ref="BC105" r:id="rId356" display="https://www.mmcomercio.net.br/produto/coloracao-panotico-rapido-conjunto-3x500ml-laborclin.html?utm_source=Site&amp;utm_medium=GoogleMerchant&amp;utm_campaign=GoogleMerchant&amp;srsltid=Ad5pg_FoGXbEmYIMoseC-c8w24pk0MButHCIfg-xu7FmZwEyMO2Wgb-74-c"/>
    <hyperlink ref="BI105" r:id="rId357" display="https://www.dsyslab.com.br/reagentes/corantes/coloracao-panotico-rapido-kit-com-3-frascos-de-500-ml-cada-laborclin?parceiro=7063&amp;srsltid=Ad5pg_Fi0XLrRZb0XaYSFwIXE-jUZpo0TCpEHk5tF9smzk_H1fIDEFTxuOY"/>
    <hyperlink ref="J106" r:id="rId358" display="https://sipac.sig.ufal.br/sipac/visualizaMaterial.do?popup=true&amp;id=22800&amp;acao=12"/>
    <hyperlink ref="AW106" r:id="rId359" display="https://www.labimport.com.br/reagentes/kit-de-coloracao-de-gram/kit-de-coloracao-de-gram-04x500ml"/>
    <hyperlink ref="BC106" r:id="rId360" display="https://www.h4prospera.com.br/conjunto-para-coloracao-de-gram-?utm_source=google&amp;utm_medium=Shopping&amp;utm_campaign=conjunto-para-coloracao-de-gram-&amp;inStock"/>
    <hyperlink ref="BI106" r:id="rId361" display="https://www.dsyslab.com.br/reagentes/conjunto-para-coloracao-de-gram-caixa-com-4-frascos-pa185-newprov?parceiro=7063&amp;srsltid=Ad5pg_GaRNvelLvoKXDszpGnEfpuLrq6jde4WhsjJbkyHKNOsQSp_Xbkzkc"/>
    <hyperlink ref="J107" r:id="rId362" display="https://sipac.sig.ufal.br/sipac/visualizaMaterial.do?popup=true&amp;id=28212&amp;acao=12"/>
    <hyperlink ref="J108" r:id="rId363" display="https://sipac.sig.ufal.br/sipac/visualizaMaterial.do?popup=true&amp;id=23411&amp;acao=12"/>
    <hyperlink ref="AW108" r:id="rId364" display="https://www.biomedh.com.br/007233/cromato-de-potassio-pa-500gr.html"/>
    <hyperlink ref="BC108" r:id="rId365" display="https://www.didaticasp.com.br/produto/cromato-de-potassio-pa-250g-cas-7789-00-6-ssp.html"/>
    <hyperlink ref="BI108" r:id="rId366" display="https://aclmaringa.com.br/produto/cromato-de-potassio-pa/"/>
    <hyperlink ref="J109" r:id="rId367" display="https://sipac.sig.ufal.br/sipac/visualizaMaterial.do?popup=true&amp;id=23414&amp;acao=12"/>
    <hyperlink ref="AW109" r:id="rId368" display="https://www.didaticasp.com.br/diclorometano-uvhplc-espectroscopico-1l-pfssp"/>
    <hyperlink ref="BC109" r:id="rId369" display="https://www.glasslab.com.br/reagentes-e-meios/diclorometano-hplc-1l"/>
    <hyperlink ref="J110" r:id="rId370" display="https://sipac.sig.ufal.br/sipac/visualizaMaterial.do?popup=true&amp;id=23413&amp;acao=12"/>
    <hyperlink ref="AW110" r:id="rId371" display="https://www.glasslab.com.br/reagentes-e-meios/diclorometano-pa-acs-99-5-1l"/>
    <hyperlink ref="BC110" r:id="rId372" display="https://www.didaticasp.com.br/produto/diclorometano-pa-1l-cas-75-09-2-pfssp-concentracao-100-densidade-133.html"/>
    <hyperlink ref="J111" r:id="rId373" display="https://sipac.sig.ufal.br/sipac/visualizaMaterial.do?popup=true&amp;id=23415&amp;acao=12"/>
    <hyperlink ref="AW111" r:id="rId374" display="https://www.lojanetlab.com.br/reagentes/pa/dicromato-de-amonio-pa-bicromato"/>
    <hyperlink ref="BC111" r:id="rId375" display="https://ludwigbiotec.com.br/loja/produto/dicromato-de-amonio-p-a-500-g/1860"/>
    <hyperlink ref="BI111" r:id="rId376" display="https://www.acsreagentes.com.br/dicromato-de-amonio-bicromato-pa-500g-acs-cientifica?utm_source=Site&amp;utm_medium=GoogleMerchant&amp;utm_campaign=GoogleMerchant&amp;gclid=Cj0KCQjwk7ugBhDIARIsAGuvgPZGyJpJxgxGHGC1d3ouRmZxtaiR5Yv-WjXNqYH2jAx-Ulcd_iqaiskaAkXrEALw_wcB"/>
    <hyperlink ref="J112" r:id="rId377" display="https://sipac.sig.ufal.br/sipac/visualizaMaterial.do?popup=true&amp;id=23424&amp;acao=12"/>
    <hyperlink ref="AW112" r:id="rId378" display="https://www.glasslab.com.br/reagentes-e-meios/dicromato-de-potassio-pa-500g"/>
    <hyperlink ref="BC112" r:id="rId379" display="https://www.didaticasp.com.br/produto/dicromato-de-potassio-pa-500g-cas-7778-50-9-pfssp-concentracao-99-densidade-100.html"/>
    <hyperlink ref="J113" r:id="rId380" display="https://sipac.sig.ufal.br/sipac/visualizaMaterial.do?popup=true&amp;id=30775&amp;acao=12"/>
    <hyperlink ref="AW113" r:id="rId381" display="https://www.acsreagentes.com.br/edta-de-magnesio-sal-dissodico-pa-xh2o-25g-acs-cientifica?utm_source=Site&amp;utm_medium=GoogleMerchant&amp;utm_campaign=GoogleMerchant&amp;gclid=Cj0KCQjwk7ugBhDIARIsAGuvgPaXo0b1-UFbzmDzhifMCiUx3JsaPzZlNA5Ali8UVw8ypatDYLKagakaAtQWEALw_wcB"/>
    <hyperlink ref="J114" r:id="rId382" display="https://sipac.sig.ufal.br/sipac/visualizaMaterial.do?popup=true&amp;id=22688&amp;acao=12"/>
    <hyperlink ref="AW114" r:id="rId383" display="https://www.acsreagentes.com.br/edta-sal-dissodico-2h2o-pa-acs-500g-acs-cientifica?utm_source=Site&amp;utm_medium=GoogleMerchant&amp;utm_campaign=GoogleMerchant&amp;gclid=Cj0KCQjwk7ugBhDIARIsAGuvgPYCnK9YBkJAKdTtwxfcNUS6FAw3nKfxWXSUut_jo60YGTVHf7IjFbQaAgOCEALw_wcB"/>
    <hyperlink ref="BC114" r:id="rId384" display="https://www.glasslab.com.br/reagentes-e-meios/edta-sal-dissodico-2h2o-pa-acs-500g?parceiro=6858&amp;gclid=Cj0KCQjwk7ugBhDIARIsAGuvgPaZXqIMg8tOeFV9I2A_Yoaamk2wS-fQNjOzmMBA83Msg0RVg6395q8aAiD1EALw_wcB"/>
    <hyperlink ref="BI114" r:id="rId385" display="https://www.laderquimica.com.br/edta-sal-dissodico-2h2o-pa-500g-dinamica?utm_source=Site&amp;utm_medium=GoogleMerchant&amp;utm_campaign=GoogleMerchant&amp;srsltid=Ad5pg_HHLR96iCEzMfcZqFHkuUR1D5ynulVP-KJzJ0_gZXuEdcrbDIqQ1iE"/>
    <hyperlink ref="J115" r:id="rId386" display="https://sipac.sig.ufal.br/sipac/visualizaMaterial.do?popup=true&amp;id=23433&amp;acao=12"/>
    <hyperlink ref="AW115" r:id="rId387" display="https://www.acsreagentes.com.br/enxofre-puro-500g-acs-cientifica?utm_source=Site&amp;utm_medium=GoogleMerchant&amp;utm_campaign=GoogleMerchant&amp;gclid=Cj0KCQjwk7ugBhDIARIsAGuvgPb6hzB10KoeMrYGdqXGGFSPztT7gB9ZHZ-DGF7-u-tapZIOXW-Bl3QaAiUJEALw_wcB"/>
    <hyperlink ref="BC115" r:id="rId388" display="https://www.labimport.com.br/reagentes/enxofre/enxofre-em-po-puro-500g-11919"/>
    <hyperlink ref="BI115" r:id="rId389" display="https://www.didaticasp.com.br/enxofre-puro-500g"/>
    <hyperlink ref="J116" r:id="rId390" display="https://sipac.sig.ufal.br/sipac/visualizaMaterial.do?popup=true&amp;id=9574&amp;acao=12"/>
    <hyperlink ref="AW116" r:id="rId391" display="https://www.acsreagentes.com.br/eter-de-petroleo-30-60-pa-acs-1l-acs-cientifica?utm_source=Site&amp;utm_medium=GoogleMerchant&amp;utm_campaign=GoogleMerchant&amp;gclid=Cj0KCQjwk7ugBhDIARIsAGuvgPY_bq_i85MO7EOQ53TA59LvnCRkABjjG9SVXd0Ue8ZJD2pu-3d_a2saAilwEALw_wcB"/>
    <hyperlink ref="BC116" r:id="rId392" display="https://www.glasslab.com.br/reagentes-e-meios/eter-de-petroleo-30-60-pa-1l?parceiro=6858&amp;gclid=Cj0KCQjwk7ugBhDIARIsAGuvgPa3-bqaKQRM_sl4dLM9GR8tJTbW3yVLSPY72Vek20AYAHkw7pYv2wAaAhPREALw_wcB"/>
    <hyperlink ref="BI116" r:id="rId393" display="https://www.labimport.com.br/reagentes/eter-de-petroleo/eter-de-petroleo-30-70-pa-acs-1-l-11927"/>
    <hyperlink ref="J117" r:id="rId394" display="https://sipac.sig.ufal.br/sipac/visualizaMaterial.do?popup=true&amp;id=2216&amp;acao=12"/>
    <hyperlink ref="AW117" r:id="rId395" display="https://www.biomedh.com.br/008119/eter-etilico-pa-acs-1000ml.html"/>
    <hyperlink ref="BC117" r:id="rId396" display="https://chepplier.com/produto/pf-eter-etilico-pa-98-1000ml/"/>
    <hyperlink ref="BI117" r:id="rId397" display="https://www.didaticasp.com.br/produto/eter-etilico-pa-acs-1l-cas-60-29-7-pfssp-concentracao-98-densidade-071.html"/>
    <hyperlink ref="J118" r:id="rId398" display="https://sipac.sig.ufal.br/sipac/visualizaMaterial.do?popup=true&amp;id=27601&amp;acao=12"/>
    <hyperlink ref="AW118" r:id="rId399" display="https://www.labimport.com.br/reagentes/etilenoglicol/etilenoglicol-monoetil-eter-etiglicol-pa-1l-11929"/>
    <hyperlink ref="BC118" r:id="rId400" display="https://www.glasslab.com.br/reagentes-e-meios/etileno-glicol-mono-etil-eter-pa-1l?parceiro=6858&amp;srsltid=Ad5pg_Ff6Ai2i85EnbGJi5AbLANS6tQYtR0hQeRpqfZh0DdKEp-5RO4ohhU"/>
    <hyperlink ref="BI118" r:id="rId401" display="https://www.didaticasp.com.br/etilenoglicol-monoetil-eter-1l"/>
    <hyperlink ref="J119" r:id="rId402" display="https://sipac.sig.ufal.br/sipac/visualizaMaterial.do?popup=true&amp;id=18088&amp;acao=12"/>
    <hyperlink ref="AW119" r:id="rId403" display="https://www.glasslab.com.br/reagentes-e-meios/etileno-glicol-pa-1l?parceiro=6858&amp;gclid=Cj0KCQjwk7ugBhDIARIsAGuvgPZBxrZutPk6VQrsGQpJh2ai1hMPxXDPol_8HdUtUdEzjB2EytYJWsYaAmzQEALw_wcB"/>
    <hyperlink ref="BC119" r:id="rId404" display="https://www.lojasynth.com/reagentes-analiticosmaterias-primas/reagentes-analiticosmaterias-primas/etileno-glicol-1100g-p-a"/>
    <hyperlink ref="BI119" r:id="rId405" display="https://www.lablac.com.br/etilenoglicol-pa-1l"/>
    <hyperlink ref="J120" r:id="rId406" display="https://sipac.sig.ufal.br/sipac/visualizaMaterial.do?popup=true&amp;id=27614&amp;acao=12"/>
    <hyperlink ref="AW120" r:id="rId407" display="https://www.acsreagentes.com.br/feniltiocarbamida-feniltioureia-pa-5g-acs-cientifica"/>
    <hyperlink ref="BC120" r:id="rId408" display="https://www.glasslab.com.br/reagentes-e-meios/feniltiocarbamida-feniltioureia-pa-10g?parceiro=6858&amp;srsltid=Ad5pg_Fbr0czbSet6fUKOJo8zN2ttsosakfHPuZx_-I9xTEwO5nLNZm6lwk"/>
    <hyperlink ref="J121" r:id="rId409" display="https://sipac.sig.ufal.br/sipac/visualizaMaterial.do?popup=true&amp;id=11204&amp;acao=12"/>
    <hyperlink ref="AW121" r:id="rId410" display="https://www.acsreagentes.com.br/fenol-cristal-paacs-acido-fenico-500g-acs-cientifica?utm_source=Site&amp;utm_medium=GoogleMerchant&amp;utm_campaign=GoogleMerchant"/>
    <hyperlink ref="BC121" r:id="rId411" display="https://www.lojaprolab.com.br/fenol-cristal-pa-acs-81559"/>
    <hyperlink ref="BI121" r:id="rId412" display="https://www.labimport.com.br/reagentes/fenol/fenol-cristal-pa-acs-acido-fenico-500g"/>
    <hyperlink ref="J122" r:id="rId413" display="https://sipac.sig.ufal.br/sipac/visualizaMaterial.do?popup=true&amp;id=1018&amp;acao=12"/>
    <hyperlink ref="AW122" r:id="rId414" display="https://www.glasslab.com.br/reagentes-e-meios/fenolftaleina-pa-acs-ci-764-25g?parceiro=6858&amp;gclid=Cj0KCQjwk7ugBhDIARIsAGuvgPZzFscJtLTJ2xXYG3HrIQgq2Z86J-kyRDXpm3hlD08nJdr1U8IDm_gaArC9EALw_wcB"/>
    <hyperlink ref="BC122" r:id="rId415" display="https://www.orionprodutoscientificos.com.br/fenolftaleina-pa-ci-764-25g-exodo-cientifica?utm_source=Site&amp;utm_medium=GoogleMerchant&amp;utm_campaign=GoogleMerchant&amp;gclid=Cj0KCQjwk7ugBhDIARIsAGuvgPYmTAZw4GHaPJZVnHDT0S0Ea7jnDQg26Jmgnk4LNyVPZKLsdxZBJ0UaAr3VEALw_wcB"/>
    <hyperlink ref="BI122" r:id="rId416" display="https://www.laderquimica.com.br/fenolftaleina-pa-25g-neon"/>
    <hyperlink ref="J123" r:id="rId417" display="https://sipac.sig.ufal.br/sipac/visualizaMaterial.do?popup=true&amp;id=23661&amp;acao=12"/>
    <hyperlink ref="AW123" r:id="rId418" display="https://www.glasslab.com.br/reagentes-e-meios/ferro-reduzido-po-pa-1kg?parceiro=6858&amp;srsltid=Ad5pg_H53hWaa7OTECSMAw1bkA9JpJkvOFMXqg4PzY8LqKeBRcK4N6IaANs"/>
    <hyperlink ref="BC123" r:id="rId419" display="https://www.labimport.com.br/reagentes/ferro-reduzido/ferro-reduzido-po-pa-500g-11951"/>
    <hyperlink ref="BI123" r:id="rId420" display="https://www.orionprodutoscientificos.com.br/ferro-reduzido-po-pa-500g-exodo-cientifica-FR04704RA?utm_source=Site&amp;utm_medium=GoogleMerchant&amp;utm_campaign=GoogleMerchant"/>
    <hyperlink ref="J124" r:id="rId421" display="https://sipac.sig.ufal.br/sipac/visualizaMaterial.do?popup=true&amp;id=2468&amp;acao=12"/>
    <hyperlink ref="AW124" r:id="rId422" display="https://www.acsreagentes.com.br/ferrocianeto-de-potassio-3h2o-pa-acs-250g-acs-cientifica?utm_source=Site&amp;utm_medium=GoogleMerchant&amp;utm_campaign=GoogleMerchant"/>
    <hyperlink ref="BC124" r:id="rId423" display="https://www.glasslab.com.br/reagentes-e-meios/ferrocianeto-de-potassio-3h2o-pa-acs-250g?parceiro=6858&amp;srsltid=Ad5pg_Gr4MAXgJ-kWCGUb5iZkg1d8ROvHxjWTNZQWdzjTbLoBgQOWsHu8fA"/>
    <hyperlink ref="BI124" r:id="rId424" display="https://www.labimport.com.br/reagentes/ferricianeto/ferrocianeto-de-potassio-3h2o-pa-acs-500g"/>
    <hyperlink ref="J125" r:id="rId425" display="https://sipac.sig.ufal.br/sipac/visualizaMaterial.do?popup=true&amp;id=22997&amp;acao=12"/>
    <hyperlink ref="AW125" r:id="rId426" display="https://www.acsreagentes.com.br/floroglucinolfluroglucina-2h2o-pa-25g-acs-cientifica?utm_source=Site&amp;utm_medium=GoogleMerchant&amp;utm_campaign=GoogleMerchant&amp;gclid=Cj0KCQjwk7ugBhDIARIsAGuvgPZScpAp_EVySzf_pdamPGl_XFZLjisNfDXSGOjkX-t11p73m216CHgaAqM-EALw_wcB"/>
    <hyperlink ref="BC125" r:id="rId427" display="https://www.glasslab.com.br/reagentes-e-meios/floroglucinol-fluroglucina-2h2o-pa-25g?parceiro=6858&amp;gclid=Cj0KCQjwk7ugBhDIARIsAGuvgPYEOXGZAsCB7KCPg8fbLbjX0Avl6VD0pR0_hNUOSQfNKlwPqk0h1jEaAq9qEALw_wcB"/>
    <hyperlink ref="J126" r:id="rId428" display="https://sipac.sig.ufal.br/sipac/visualizaMaterial.do?popup=true&amp;id=18091&amp;acao=12"/>
    <hyperlink ref="AW126" r:id="rId429" display="https://www.glasslab.com.br/reagentes-e-meios/fluoreto-de-sodio-pa-500g"/>
    <hyperlink ref="BC126" r:id="rId430" display="http://www.orbitallab.com.br/fluoreto-de-sodio-pa-acs-(-produto-controlado-pelo-ministerio-do-exercito)-1383"/>
    <hyperlink ref="J127" r:id="rId431" display="https://sipac.sig.ufal.br/sipac/visualizaMaterial.do?popup=true&amp;id=3545&amp;acao=12"/>
    <hyperlink ref="AW127" r:id="rId432" display="https://www.biomedh.com.br/007073/formaldeido-37-pa-1000ml.html"/>
    <hyperlink ref="BC127" r:id="rId433" display="https://noxsolutions.com.br/formaldeido-pa-acs-1000ml"/>
    <hyperlink ref="BI127" r:id="rId434" display="https://www.quimisulsc.com.br/index.php?route=product/product&amp;product_id=101"/>
    <hyperlink ref="BJ127" r:id="rId435" display="Quimisul Sc Brasil LTDA"/>
    <hyperlink ref="J128" r:id="rId436" display="https://sipac.sig.ufal.br/sipac/visualizaMaterial.do?popup=true&amp;id=25749&amp;acao=12"/>
    <hyperlink ref="AW128" r:id="rId437" display="https://www.labimport.com.br/reagentes/fosfato-de-calcio/fosfato-de-calcio-bibasico-anidro-pa-500g"/>
    <hyperlink ref="BC128" r:id="rId438" display="https://www.lojasynth.com/reagentes-analiticosmaterias-primas/reagentes-analiticosmaterias-primas/fosfato-de-calcio-bibasico-anidro-p-a?variant_id=871"/>
    <hyperlink ref="BI128" r:id="rId439" display="https://www.didaticasp.com.br/fosfato-de-calcio-bibasico-anidro-pa-500g"/>
    <hyperlink ref="J129" r:id="rId440" display="https://sipac.sig.ufal.br/sipac/visualizaMaterial.do?popup=true&amp;id=10942&amp;acao=12"/>
    <hyperlink ref="AW129" r:id="rId441" display="https://www.lojasynth.com/reagentes-analiticosmaterias-primas/reagentes-analiticosmaterias-primas/fosfato-de-potassio-monobasico-anidro-p-a?variant_id=301069"/>
    <hyperlink ref="BC129" r:id="rId442" display="https://ludwigbiotec.com.br/loja/produto/fosfato-de-potassio-monobasico-anidro-p-a-250-g/936"/>
    <hyperlink ref="BI129" r:id="rId443" display="https://www.sabresafety.com.br/produto/fosfato-de-potassio-monobasico-anidro-pa-500gr/"/>
    <hyperlink ref="J130" r:id="rId444" display="https://sipac.sig.ufal.br/sipac/visualizaMaterial.do?popup=true&amp;id=625&amp;acao=12"/>
    <hyperlink ref="AW130" r:id="rId445" display="https://www.lojasynth.com/reagentes-analiticosmaterias-primas/reagentes-analiticosmaterias-primas/fosfato-de-sodio-bibasico-anidro-p-a-a-c-s?variant_id=300929"/>
    <hyperlink ref="BC130" r:id="rId446" display="https://www.didaticasp.com.br/fosfato-de-sodio-bibasico-anidro-pa-500g"/>
    <hyperlink ref="BI130" r:id="rId447" display="https://www.labimport.com.br/reagentes/fosfato-de-sodio/fosfato-de-sodio-dibasico-anidro-pa-1kg"/>
    <hyperlink ref="J131" r:id="rId448" display="https://sipac.sig.ufal.br/sipac/visualizaMaterial.do?popup=true&amp;id=3547&amp;acao=12"/>
    <hyperlink ref="AW131" r:id="rId449" display="https://www.lojasynth.com/reagentes-analiticosmaterias-primas/reagentes-analiticosmaterias-primas/fosfato-de-sodio-monobasico-h2o-p-a-a-c-s?variant_id=1030"/>
    <hyperlink ref="BA131" r:id="rId450" display="02.208.188/0001-93"/>
    <hyperlink ref="BC131" r:id="rId451" display="https://www.acsreagentes.com.br/fosfato-de-sodio-monobasico-h2o-monohidratado-pa-acs-1kg-acs-cientifica"/>
    <hyperlink ref="J132" r:id="rId452" display="https://sipac.sig.ufal.br/sipac/visualizaMaterial.do?popup=true&amp;id=25863&amp;acao=12"/>
    <hyperlink ref="AW132" r:id="rId453" display="https://www.lojasynth.com/reagentes-analiticosmaterias-primas/reagentes-analiticosmaterias-primas/fosfato-de-sodio-monobasico-anidro-p-a?variant_id=1018"/>
    <hyperlink ref="BC132" r:id="rId454" display="https://ludwigbiotec.com.br/loja/produto/fosfato-de-sodio-monobasico-anidro-98-p-a-500-g/949"/>
    <hyperlink ref="BI132" r:id="rId455" location=".ZA9yNh_MJhE" display="https://labtrade.com.br/produto/fosfato-de-sodio-monobasico-anidro-pa/#.ZA9yNh_MJhE"/>
    <hyperlink ref="J133" r:id="rId456" display="https://sipac.sig.ufal.br/sipac/visualizaMaterial.do?popup=true&amp;id=25750&amp;acao=12"/>
    <hyperlink ref="AW133" r:id="rId457" display="https://www.lojasynth.com/reagentes-analiticosmaterias-primas/reagentes-analiticosmaterias-primas/fosfato-de-sodio-tribasico-12h2o-p-a?variant_id=1056"/>
    <hyperlink ref="BC133" r:id="rId458" display="https://www.lojaprolab.com.br/fosfato-de-sodio-tribasico-12h2o-pa-acs-79082"/>
    <hyperlink ref="BI133" r:id="rId459" display="https://www.lojanetlab.com.br/reagentes/pa/fosfato-de-sodio-tribasico-12h2o-pa-acs"/>
    <hyperlink ref="J134" r:id="rId460" display="https://sipac.sig.ufal.br/sipac/visualizaMaterial.do?popup=true&amp;id=23592&amp;acao=12"/>
    <hyperlink ref="AW134" r:id="rId461" display="https://www.centerlab.com/glicerina-pa-1000ml-neon-cod-02698.html"/>
    <hyperlink ref="BC134" r:id="rId462" display="https://www.sabresafety.com.br/produto/glicerina-bi-destilada-pa-1000-ml/"/>
    <hyperlink ref="BI134" r:id="rId463" display="https://www.quimicenter.com.br/reagentes/glicerina-bidestilada-pa-frasco-plastico-1000ml-dinamica"/>
    <hyperlink ref="J135" r:id="rId464" display="https://sipac.sig.ufal.br/sipac/visualizaMaterial.do?popup=true&amp;id=29324&amp;acao=12"/>
    <hyperlink ref="BC135" r:id="rId465" display="https://www.biomedh.com.br/007135/glicerina-pa-acs-1250g-1000ml.html"/>
    <hyperlink ref="BE135" r:id="rId466" display="EXODO"/>
    <hyperlink ref="BI135" r:id="rId467" display="https://www.noxsolutions.com.br/glicerina-pa-acs-1000ml"/>
    <hyperlink ref="J136" r:id="rId468" display="https://sipac.sig.ufal.br/sipac/visualizaMaterial.do?popup=true&amp;id=18153&amp;acao=12"/>
    <hyperlink ref="AW136" r:id="rId469" display="https://www.glasslab.com.br/reagentes-e-meios/glicina-acido-amino-acetico-pa-100g"/>
    <hyperlink ref="BC136" r:id="rId470" display="https://www.ciruvix.com.br/acido-aminoacetico-pa-glicina-500gr-neon"/>
    <hyperlink ref="BI136" r:id="rId471" display="https://www.biomedh.com.br/008101/glicina-pa-acido-amino-acetico-100gr.html"/>
    <hyperlink ref="J137" r:id="rId472" display="https://sipac.sig.ufal.br/sipac/visualizaMaterial.do?popup=true&amp;id=23412&amp;acao=12"/>
    <hyperlink ref="AW137" r:id="rId473" display="https://www.lojanetlab.com.br/reagentes/pa/glicose-anidra-dextrose-pa-acs-500g-dinamica"/>
    <hyperlink ref="BC137" r:id="rId474" display="https://www.acsreagentes.com.br/glicose-anidra-dextrose-pa-acs-25kg-acs-cientifica"/>
    <hyperlink ref="BI137" r:id="rId475" display="https://www.lojasynth.com/reagentes-analiticosmaterias-primas/reagentes-analiticosmaterias-primas/glicose-d-anidra-p-a-a-c-s?variant_id=301323"/>
    <hyperlink ref="J138" r:id="rId476" display="https://sipac.sig.ufal.br/sipac/visualizaMaterial.do?popup=true&amp;id=23596&amp;acao=12"/>
    <hyperlink ref="AW138" r:id="rId477" display="https://www.glasslab.com.br/reagentes-e-meios/hexano-hplc-95-1l"/>
    <hyperlink ref="BA138" r:id="rId478" display="02.208.188/0001-93"/>
    <hyperlink ref="BC138" r:id="rId479" display="https://www.acsreagentes.com.br/hexano-95-uv-hplc-espectroscopico-mistura-de-isomeros-1l-acs-cientifica"/>
    <hyperlink ref="J139" r:id="rId480" display="https://sipac.sig.ufal.br/sipac/visualizaMaterial.do?popup=true&amp;id=23597&amp;acao=12"/>
    <hyperlink ref="AW139" r:id="rId481" display="https://www.pro-analise.com.br/n-hexano-PA-ACS_1043741000-Merck"/>
    <hyperlink ref="BC139" r:id="rId482" display="https://www.lojaprolab.com.br/hexano-n-99-pa-acs-79124"/>
    <hyperlink ref="BI139" r:id="rId483" display="https://www.glasslab.com.br/reagentes-e-meios/hexano-n-pa-acs-99-1l"/>
    <hyperlink ref="J140" r:id="rId484" display="https://sipac.sig.ufal.br/sipac/visualizaMaterial.do?popup=true&amp;id=23598&amp;acao=12"/>
    <hyperlink ref="AW140" r:id="rId485" display="https://www.orionprodutoscientificos.com.br/hidroquinona-pa-500g-exodo-cientifica?utm_source=Site&amp;utm_medium=GoogleMerchant&amp;utm_campaign=GoogleMerchant"/>
    <hyperlink ref="BC140" r:id="rId486" display="https://ludwigbiotec.com.br/loja/produto/hidroquinona-99-pa-250/981"/>
    <hyperlink ref="BI140" r:id="rId487" display="https://www.didaticasp.com.br/produto/hidroquinona-99-pa-500g-cas-123-31-9-ssp.html"/>
    <hyperlink ref="J141" r:id="rId488" display="https://sipac.sig.ufal.br/sipac/visualizaMaterial.do?popup=true&amp;id=23603&amp;acao=12"/>
    <hyperlink ref="AW141" r:id="rId489" display="https://www.glasslab.com.br/reagentes-e-meios/hidroxido-de-amonio-24-26-pa-1l?parceiro=6858&amp;srsltid=Ad5pg_HWnRU7SjI-WjlBXyCImRRT45Jrx8yJMXny0nsWzkPMhCwykc-h_R4"/>
    <hyperlink ref="BC141" r:id="rId490" display="https://www.didaticasp.com.br/hidroxido-de-amonio-24-a-26-pa-1l-pfssp"/>
    <hyperlink ref="J142" r:id="rId491" display="https://sipac.sig.ufal.br/sipac/visualizaMaterial.do?popup=true&amp;id=23607&amp;acao=12"/>
    <hyperlink ref="AW142" r:id="rId492" display="https://www.glasslab.com.br/reagentes-e-meios/hidroxido-de-bario-8h2o-pa-acs-500g?parceiro=6858&amp;srsltid=Ad5pg_GnoZQ7pOv7ywfBrQjrHnmMUVO78qBx-AwYPwj8eu1E3TwZHyONdXw"/>
    <hyperlink ref="BC142" r:id="rId493" display="https://www.acsreagentes.com.br/hidroxido-de-bario-8h2o-pa-acs-500g-acs-cientifica?utm_source=Site&amp;utm_medium=GoogleMerchant&amp;utm_campaign=GoogleMerchant"/>
    <hyperlink ref="BI142" r:id="rId494" display="https://www.lojaprolab.com.br/hidroxido-de-bario-8h2o-pa-acs-79133"/>
    <hyperlink ref="J143" r:id="rId495" display="https://sipac.sig.ufal.br/sipac/visualizaMaterial.do?popup=true&amp;id=23610&amp;acao=12"/>
    <hyperlink ref="AW143" r:id="rId496" display="https://www.orionprodutoscientificos.com.br/hidroxido-de-calcio-p-a-500-g-fabricante-neon-N01538?utm_source=Site&amp;utm_medium=GoogleMerchant&amp;utm_campaign=GoogleMerchant"/>
    <hyperlink ref="BC143" r:id="rId497" display="https://www.glasslab.com.br/reagentes-e-meios/hidroxido-de-calcio-pa-500g?parceiro=6858&amp;srsltid=Ad5pg_HRe49TJKsFd2UilIqCOuqXTYEfpserTm16uH4QRIHFht1CB-SpNSM"/>
    <hyperlink ref="BI143" r:id="rId498" display="https://www.didaticasp.com.br/produto/hidroxido-de-calcio-pa-500g-cas-1305-62-0.html"/>
    <hyperlink ref="J144" r:id="rId499" display="https://sipac.sig.ufal.br/sipac/visualizaMaterial.do?popup=true&amp;id=23614&amp;acao=12"/>
    <hyperlink ref="AW144" r:id="rId500" display="https://www.glasslab.com.br/reagentes-e-meios/hidroxido-de-potassio-escamas-pa-500g?parceiro=6858&amp;srsltid=Ad5pg_HdJdTx_a8Bf_o45aWNa3FsFmHkVm0YDqIr2O4QVNkFogwtM-kOaNs"/>
    <hyperlink ref="BC144" r:id="rId501" display="https://www.lojaquimica.com.br/hidroxido-de-potassio-p-a-1000g"/>
    <hyperlink ref="BI144" r:id="rId502" display="https://www.biomedh.com.br/008136/hidroxido-de-potassio-pa-acs-500gr.html"/>
    <hyperlink ref="J145" r:id="rId503" display="https://sipac.sig.ufal.br/sipac/visualizaMaterial.do?popup=true&amp;id=23617&amp;acao=12"/>
    <hyperlink ref="AW145" r:id="rId504" display="https://www.biomedh.com.br/006999/hidroxido-de-sodio-microperolas-pa-acs-1000gr.html"/>
    <hyperlink ref="BC145" r:id="rId505" display="https://www.pro-analise.com.br/reagentes?product_id=7958"/>
    <hyperlink ref="BI145" r:id="rId506" display="https://www.laderquimica.com.br/hidroxido-de-sodio-micro-perolas-pa-1kg-neon-"/>
    <hyperlink ref="J146" r:id="rId507" display="https://sipac.sig.ufal.br/sipac/visualizaMaterial.do?popup=true&amp;id=30780&amp;acao=12"/>
    <hyperlink ref="AW146" r:id="rId508" display="https://www.acquailha.com.br/produtos/hipoclorito-de-sodio-cordex-12/?variant=460836025&amp;pf=mc&amp;gclid=Cj0KCQjwtsCgBhDEARIsAE7RYh0G4fOxTWWshOALz-f4JQArqm5QhYlgE1ceiK0Dve-mQtC6KzKFS4MaAgrSEALw_wcB"/>
    <hyperlink ref="BC146" r:id="rId509" display="https://www.colortec.com.br/copa-e-limpeza/produtos-de-limpeza/hipoclorito-de-sodio-5-lt-12-da-casa-c03?gclid=Cj0KCQjwtsCgBhDEARIsAE7RYh1a0HqZjJaDXyMc_sNadX76XaiwrRs1ud4mowuvMfkHpqKrn9lzF-4aArw2EALw_wcB"/>
    <hyperlink ref="BI146" r:id="rId510" display="https://www.alecrimessenciaria.com.br/cloro-hipoclorito-de-sodio-12?utm_source=Site&amp;utm_medium=GoogleMerchant&amp;utm_campaign=GoogleMerchant"/>
    <hyperlink ref="J147" r:id="rId511" display="https://sipac.sig.ufal.br/sipac/visualizaMaterial.do?popup=true&amp;id=23619&amp;acao=12"/>
    <hyperlink ref="AW147" r:id="rId512" display="https://ludwigbiotec.com.br/loja/produto/iodato-de-potassio-p-a-250-g/1002"/>
    <hyperlink ref="BC147" r:id="rId513" display="https://www.acsreagentes.com.br/iodato-de-potassio-pa-acs-100g-acs-cientifica?utm_source=Site&amp;utm_medium=GoogleMerchant&amp;utm_campaign=GoogleMerchant"/>
    <hyperlink ref="BI147" r:id="rId514" display="https://www.laderquimica.com.br/iodato-potassio-pa-neon-100g?utm_source=Site&amp;utm_medium=GoogleMerchant&amp;utm_campaign=GoogleMerchant&amp;srsltid=Ad5pg_HZQAKmrUxtCpexSfhUsMyMeblAAbb5-Yhd2rANaUEyFcuVgiydbJg"/>
    <hyperlink ref="J148" r:id="rId515" display="https://sipac.sig.ufal.br/sipac/visualizaMaterial.do?popup=true&amp;id=23620&amp;acao=12"/>
    <hyperlink ref="AW148" r:id="rId516" display="https://www.glasslab.com.br/reagentes-e-meios/iodeto-de-potassio-pa-acs-100g?parceiro=6858&amp;gclid=Cj0KCQjwtsCgBhDEARIsAE7RYh0_GeQdckq-Frf-5o8oKP5EHCxJCQHJw7Z9iE55_an9Jhv7W0b_wsYaArvPEALw_wcB"/>
    <hyperlink ref="BC148" r:id="rId517" display="https://www.lojasynth.com/reagentes-analiticosmaterias-primas/reagentes-analiticosmaterias-primas/iodeto-de-potassio-p-a"/>
    <hyperlink ref="BI148" r:id="rId518" display="https://www.biomedh.com.br/007008/iodeto-de-potassio-pa-acs-100gr.html"/>
    <hyperlink ref="J149" r:id="rId519" display="https://sipac.sig.ufal.br/sipac/visualizaMaterial.do?popup=true&amp;id=23621&amp;acao=12"/>
    <hyperlink ref="AW149" r:id="rId520" display="https://www.acsreagentes.com.br/iodeto-de-sodio-pa-100g-acs-cientifica?utm_source=Site&amp;utm_medium=GoogleMerchant&amp;utm_campaign=GoogleMerchant&amp;gclid=Cj0KCQjwtsCgBhDEARIsAE7RYh15kZ5VmIm218FH5o8eofQqaYKP-V2jAllm-5iMIAD9yQez4NNZbKwaAvhDEALw_wcB"/>
    <hyperlink ref="BC149" r:id="rId521" display="https://www.glasslab.com.br/reagentes-e-meios/iodeto-de-sodio-pa-100g?parceiro=6858&amp;gclid=Cj0KCQjwtsCgBhDEARIsAE7RYh0FRacpqDoorNZHZXHS8EB09VowPEIra2vVK_7LuNFWXF9wwWf-0iwaAi2iEALw_wcB"/>
    <hyperlink ref="BI149" r:id="rId522" display="https://ludwigbiotec.com.br/loja/produto/iodeto-de-sodio-p-a-100-g/1013"/>
    <hyperlink ref="J150" r:id="rId523" display="https://sipac.sig.ufal.br/sipac/visualizaMaterial.do?popup=true&amp;id=15355&amp;acao=12"/>
    <hyperlink ref="AW150" r:id="rId524" display="https://www.glasslab.com.br/reagentes-e-meios/lauril-dodecil-sulf-de-sodio-pa-500g?parceiro=6858&amp;gclid=Cj0KCQjwtsCgBhDEARIsAE7RYh1a9UeOQ2jmJs363em3vG23Wm5Hta1ozAcRy-Rs9PHp05Ipbs2V5PsaAi4nEALw_wcB"/>
    <hyperlink ref="BC150" r:id="rId525" display="https://www.acsreagentes.com.br/lauril-sulfato-de-sodio-pa-dodecilsulfato-500g-acs-cientifica?utm_source=Site&amp;utm_medium=GoogleMerchant&amp;utm_campaign=GoogleMerchant&amp;gclid=Cj0KCQjwtsCgBhDEARIsAE7RYh2ZOmMHlQ6S13IxmSQhTJpgSiSeypZNI6RCJqTxO5muVtu4AKYjadQaArlxEALw_wcB"/>
    <hyperlink ref="BI150" r:id="rId526" display="https://www.didaticasp.com.br/produto/dodecil-sulfato-de-sodio-95-puro-500g-cas-151-21-3.html"/>
    <hyperlink ref="J151" r:id="rId527" display="https://sipac.sig.ufal.br/sipac/visualizaMaterial.do?popup=true&amp;id=23406&amp;acao=12"/>
    <hyperlink ref="AW151" r:id="rId528" display="https://www.acsreagentes.com.br/iodo-iodeto-lugol-forte-solucao-5-aquoso-500ml-acs-cientifica?utm_source=Site&amp;utm_medium=GoogleMerchant&amp;utm_campaign=GoogleMerchant&amp;gclid=Cj0KCQjwtsCgBhDEARIsAE7RYh2bTQ4ENx97B9l1NajDYuGTPfn-mErpxdqhoAzXVcMQ-7GIUVls6QoaAsKjEALw_wcB"/>
    <hyperlink ref="BC151" r:id="rId529" display="https://www.orionprodutoscientificos.com.br/lugol-forte-em-solucao-1000-ml-fabricante-neon-N01532?utm_source=Site&amp;utm_medium=GoogleMerchant&amp;utm_campaign=GoogleMerchant"/>
    <hyperlink ref="BI151" r:id="rId530" display="https://www.shoppingprohospital.com.br/saneantes/lugol-forte-5-1000ml-proc9?parceiro=8087&amp;srsltid=Ad5pg_HC1HxVhO3XyYuyiZmrM65GpGYqOMCO0oI7v4W1JjYOecwdPI3e3KM"/>
    <hyperlink ref="J152" r:id="rId531" display="https://sipac.sig.ufal.br/sipac/visualizaMaterial.do?popup=true&amp;id=24912&amp;acao=12"/>
    <hyperlink ref="AW152" r:id="rId532" display="https://www.orionprodutoscientificos.com.br/magnesio-metalico-em-raspas-aparas-250g-exodo-cientifica"/>
    <hyperlink ref="BC152" r:id="rId533" display="https://www.labimport.com.br/reagentes/magnesio/magnesio-metalico-em-raspas-aparas-250g"/>
    <hyperlink ref="BI152" r:id="rId534" display="https://www.acsreagentes.com.br/magnesio-metalico-em-raspas-aparas-250g-acs-cientifica"/>
    <hyperlink ref="J153" r:id="rId535" display="https://sipac.sig.ufal.br/sipac/visualizaMaterial.do?popup=true&amp;id=28214&amp;acao=12"/>
    <hyperlink ref="AW153" r:id="rId536" display="https://www.orionprodutoscientificos.com.br/agar-citrato-de-simmons-frasco-500g-himedia?utm_source=Site&amp;utm_medium=GoogleMerchant&amp;utm_campaign=GoogleMerchant"/>
    <hyperlink ref="BC153" r:id="rId537" display="https://www.glasslab.com.br/reagentes-e-meios/agar-citrato-simmons-frasco-500g-k25-1014-kasvi?parceiro=6858&amp;gclid=Cj0KCQjwtsCgBhDEARIsAE7RYh0QfQFDYSbn3tLGcXKXQl4vf_jvpDVlCpezlEpTff6S7SntJkLkHZ4aAvToEALw_wcB"/>
    <hyperlink ref="BI153" r:id="rId538" display="https://www.lkpdiagnosticos.com.br/meios-de-cultura/7156-agar-citrato-simmons-simmons-citrate-agar-500g?parceiro=3898"/>
    <hyperlink ref="J154" r:id="rId539" display="https://sipac.sig.ufal.br/sipac/visualizaMaterial.do?popup=true&amp;id=30418&amp;acao=12"/>
    <hyperlink ref="AW154" r:id="rId540" display="https://www.orionprodutoscientificos.com.br/metassilicato-de-sodio-nonahidratado-98-p-a-250-g-fabricante-neon-N03398"/>
    <hyperlink ref="BI154" r:id="rId541" display="Silicato De Sodio Puro 500G Acs Cientifica - ACS REAGENTES"/>
    <hyperlink ref="J155" r:id="rId542" display="https://sipac.sig.ufal.br/sipac/visualizaMaterial.do?popup=true&amp;id=23628&amp;acao=12"/>
    <hyperlink ref="AW155" r:id="rId543" display="https://www.lojasynth.com/reagentes-analiticosmaterias-primas/reagentes-analiticosmaterias-primas/molibdato-de-amonio-4h2o-p-a-a-c-s?parceiro=2827&amp;variant_id=302683&amp;gclid=Cj0KCQjwtsCgBhDEARIsAE7RYh222wbhEXgcHVJ_9sXLvZLJNmDBaiE8bO-Yycim3FEPGUeqB4lptSYaAoj2EALw_wcB"/>
    <hyperlink ref="BC155" r:id="rId544" display="https://www.glasslab.com.br/reagentes-e-meios/molibdato-de-amonio-4h2o-pa-acs-100g?parceiro=6858&amp;gclid=Cj0KCQjwtsCgBhDEARIsAE7RYh2MbSRvNlvF6NE36cIIM3UHrVsvzSXpXw9B_4rZHpuBN_HjV0w85usaAo5QEALw_wcB"/>
    <hyperlink ref="BI155" r:id="rId545" display="https://www.orionprodutoscientificos.com.br/molibdato-de-amonio-4h2o-pa-acs-100g-exodo-cientifica?utm_source=Site&amp;utm_medium=GoogleMerchant&amp;utm_campaign=GoogleMerchant"/>
    <hyperlink ref="J156" r:id="rId546" display="https://sipac.sig.ufal.br/sipac/visualizaMaterial.do?popup=true&amp;id=30420&amp;acao=12"/>
    <hyperlink ref="AW156" r:id="rId547" display="https://www.lojasynth.com/reagentes-analiticosmaterias-primas/reagentes-analiticosmaterias-primas/molibdato-de-sodio-2h2o-p-a-a-c-s?variant_id=301377&amp;parceiro=2827"/>
    <hyperlink ref="BC156" r:id="rId548" display="https://www.glasslab.com.br/reagentes-e-meios/molibdato-de-sodio-2h2o-pa-acs-100g?parceiro=6858&amp;srsltid=Ad5pg_HUzdt-fUjIVxJfo5wBc4B-uF5f5bSYnmn7smjWnLCuuMzqIxC_R-8"/>
    <hyperlink ref="BI156" r:id="rId549" display="https://www.acsreagentes.com.br/molibdato-de-sodio-2h2o-pa-acs-100g-acs-cientifica"/>
    <hyperlink ref="J157" r:id="rId550" display="https://sipac.sig.ufal.br/sipac/visualizaMaterial.do?popup=true&amp;id=23470&amp;acao=12"/>
    <hyperlink ref="AW157" r:id="rId551" display="https://www.orionprodutoscientificos.com.br/naftaleno-p-s-500-g-fabricante-neon?utm_source=Site&amp;utm_medium=GoogleMerchant&amp;utm_campaign=GoogleMerchant"/>
    <hyperlink ref="BC157" r:id="rId552" display="https://www.didaticasp.com.br/naftaleno-ps-500g"/>
    <hyperlink ref="BI157" r:id="rId553" display="https://www.labimport.com.br/reagentes/naftalina/naftalina-naftaleno-ps-500g-12111"/>
    <hyperlink ref="J158" r:id="rId554" display="https://sipac.sig.ufal.br/sipac/visualizaMaterial.do?popup=true&amp;id=24767&amp;acao=12"/>
    <hyperlink ref="AW158" r:id="rId555" display="https://www.orionprodutoscientificos.com.br/1-naftilamina-p-a-100-g-fabricante-neon?utm_source=Site&amp;utm_medium=GoogleMerchant&amp;utm_campaign=GoogleMerchant"/>
    <hyperlink ref="BC158" r:id="rId556" display="https://www.acsreagentes.com.br/naftilamina-alfa-extra-puro-100g-acs-cientifica?utm_source=Site&amp;utm_medium=GoogleMerchant&amp;utm_campaign=GoogleMerchant"/>
    <hyperlink ref="BI158" r:id="rId557" display="https://ludwigbiotec.com.br/loja/produto/1-naftilamina-p-a-100-g/463"/>
    <hyperlink ref="J159" r:id="rId558" display="https://sipac.sig.ufal.br/sipac/visualizaMaterial.do?popup=true&amp;id=30781&amp;acao=12"/>
    <hyperlink ref="AW159" r:id="rId559" display="https://www.glasslab.com.br/reagentes-e-meios/nitrato-de-aluminio-9h2o-pa-acs-500g?parceiro=6858&amp;srsltid=Ad5pg_FdueO6-CdcAojUYA_hKU1kFgnCytZgBArp6yTq5EPaXLzv85IgzIM"/>
    <hyperlink ref="BC159" r:id="rId560" display="https://www.orionprodutoscientificos.com.br/nitrato-de-aluminio-nonahidratado-p-a-1000-g-fabricante-neon?utm_source=Site&amp;utm_medium=GoogleMerchant&amp;utm_campaign=GoogleMerchant"/>
    <hyperlink ref="BI159" r:id="rId561" display="https://www.lojaprolab.com.br/nitrato-de-aluminio-9h2o-pa-acs-79385"/>
    <hyperlink ref="J160" r:id="rId562" display="https://sipac.sig.ufal.br/sipac/visualizaMaterial.do?popup=true&amp;id=205&amp;acao=12"/>
    <hyperlink ref="J161" r:id="rId563" display="https://sipac.sig.ufal.br/sipac/visualizaMaterial.do?popup=true&amp;id=30782&amp;acao=12"/>
    <hyperlink ref="AW161" r:id="rId564" display="https://www.orionprodutoscientificos.com.br/nitrato-de-calcio-4h2o-pa-acs-500g-exodo-cientifica?utm_source=Site&amp;utm_medium=GoogleMerchant&amp;utm_campaign=GoogleMerchant"/>
    <hyperlink ref="BC161" r:id="rId565" display="https://www.glasslab.com.br/reagentes-e-meios/nitrato-de-calcio-4h2o-pa-acs-500g?parceiro=6858&amp;srsltid=Ad5pg_EzvMTysP1xvAtvjLDirs419MTCyS4hHIaL6t8LhK31MkXVmF2av7E"/>
    <hyperlink ref="BI161" r:id="rId566" display="https://www.lojaprolab.com.br/nitrato-de-calcio-4h2o-pa-79389"/>
    <hyperlink ref="J162" r:id="rId567" display="https://sipac.sig.ufal.br/sipac/visualizaMaterial.do?popup=true&amp;id=4169&amp;acao=12"/>
    <hyperlink ref="AW162" r:id="rId568" display="https://www.acsreagentes.com.br/nitrato-de-ferro-iii-ico-9h2o-pa-acs-100g-acs-cientifica?utm_source=Site&amp;utm_medium=GoogleMerchant&amp;utm_campaign=GoogleMerchant"/>
    <hyperlink ref="BC162" r:id="rId569" display="https://www.orionprodutoscientificos.com.br/nitrato-de-ferro-iii-ico-9h2o-pa-acs-500g-exodo-cientifica?utm_source=Site&amp;utm_medium=GoogleMerchant&amp;utm_campaign=GoogleMerchant"/>
    <hyperlink ref="BI162" r:id="rId570" display="https://www.glasslab.com.br/reagentes-e-meios/nitrato-de-ferro-iii-ico-9h2o-pa-acs-500g?parceiro=6858&amp;srsltid=Ad5pg_GKsniZI2hwNoiC5mzOYZ-lB_DRrdEvamsJpgMYo75jY_ajGVElsNU"/>
    <hyperlink ref="J163" r:id="rId571" display="https://sipac.sig.ufal.br/sipac/visualizaMaterial.do?popup=true&amp;id=23490&amp;acao=12"/>
    <hyperlink ref="AW163" r:id="rId572" display="https://www.lojaprolab.com.br/nitrato-de-magnesio-6h2o-pa-acs-79398"/>
    <hyperlink ref="BC163" r:id="rId573" display="https://www.glasslab.com.br/reagentes-e-meios/nitrato-de-magnesio-6h2o-pa-acs-500g?parceiro=6858&amp;gclid=Cj0KCQjwtsCgBhDEARIsAE7RYh3S3CCs_47eXkIVx-ySQOXb6sMEzBpzFj9gwUAkumU_3-W7h7KTe90aAqKFEALw_wcB"/>
    <hyperlink ref="BI163" r:id="rId574" display="https://www.orionprodutoscientificos.com.br/nitrato-de-magnesio-6h2o-pa-acs-500g-exodo-cientifica?utm_source=Site&amp;utm_medium=GoogleMerchant&amp;utm_campaign=GoogleMerchant"/>
    <hyperlink ref="J164" r:id="rId575" display="https://sipac.sig.ufal.br/sipac/visualizaMaterial.do?popup=true&amp;id=23494&amp;acao=12"/>
    <hyperlink ref="AW164" r:id="rId576" display="https://www.glasslab.com.br/reagentes-e-meios/nitrato-de-potassio-pa-500g"/>
    <hyperlink ref="J165" r:id="rId577" display="https://sipac.sig.ufal.br/sipac/visualizaMaterial.do?popup=true&amp;id=23501&amp;acao=12"/>
    <hyperlink ref="AW165" r:id="rId578" display="https://www.biomedh.com.br/004687/nitrato-de-prata-pa--50gr.html"/>
    <hyperlink ref="BC165" r:id="rId579" display="https://www.acsreagentes.com.br/nitrato-de-prata-pa-acs-25g-acs-cientifica?gclid=Cj0KCQjwtsCgBhDEARIsAE7RYh3-BG2JFE6PN8RBOvbk0kacc2TBJgBjtsCUgKQtlf4aLOJRg4HjOaEaAkP4EALw_wcB"/>
    <hyperlink ref="BI165" r:id="rId580" display="https://www.labimport.com.br/reagentes/nitrato/nitrato-de-prata-pa-acs-25g"/>
    <hyperlink ref="J166" r:id="rId581" display="https://sipac.sig.ufal.br/sipac/visualizaMaterial.do?popup=true&amp;id=23505&amp;acao=12"/>
    <hyperlink ref="AW166" r:id="rId582" display="https://www.acsreagentes.com.br/nitrato-de-sodio-pa-500g-acs-cientifica?utm_source=Site&amp;utm_medium=GoogleMerchant&amp;utm_campaign=GoogleMerchant&amp;gclid=Cj0KCQjwtsCgBhDEARIsAE7RYh2ua9fcoEEtwFv_aQdMuFr9KP__NHvDpZVTRgS7hIwWs3Ak77oa0C8aAq-GEALw_wcB"/>
    <hyperlink ref="BC166" r:id="rId583" display="https://www.glasslab.com.br/reagentes-e-meios/nitrato-de-sodio-pa-500g?parceiro=6858&amp;gclid=Cj0KCQjwtsCgBhDEARIsAE7RYh1X65PwVEUs3Vxk0lsnsinZLJdVwCrs9hDuC0aNH5KWKR9n1dWt_0EaAjsTEALw_wcB"/>
    <hyperlink ref="BI166" r:id="rId584" display="https://www.lojaprolab.com.br/nitrato-de-sodio-pa-acs-79401"/>
    <hyperlink ref="J167" r:id="rId585" display="https://sipac.sig.ufal.br/sipac/visualizaMaterial.do?popup=true&amp;id=23508&amp;acao=12"/>
    <hyperlink ref="AW167" r:id="rId586" display="https://www.acsreagentes.com.br/nitrato-de-zinco-pa-500g-acs-cientifica?gclid=Cj0KCQjwtsCgBhDEARIsAE7RYh3C8kpquETM_5AmKuLW-mWf4jnnhqRaEFl0Dsa89VXWxucujUFbWhAaAgxfEALw_wcB"/>
    <hyperlink ref="BC167" r:id="rId587" display="https://www.glasslab.com.br/reagentes-e-meios/nitrato-de-zinco-6h2o-pa-500g?parceiro=6858&amp;gclid=Cj0KCQjwtsCgBhDEARIsAE7RYh2zv2wVJzJ-NQ4ECAVOKiY2o6zUY4-750dNb5ggYRChT4rudIvZInMaAm8-EALw_wcB"/>
    <hyperlink ref="BI167" r:id="rId588" display="https://www.didaticasp.com.br/nitrato-de-zinco-6h2o-pa-500g"/>
    <hyperlink ref="J168" r:id="rId589" display="https://sipac.sig.ufal.br/sipac/visualizaMaterial.do?popup=true&amp;id=28155&amp;acao=12"/>
    <hyperlink ref="AX168" r:id="rId590" display="https://www.cofermeta.com.br/lubrificacao/lubrificantes/oleo-lubrificante-iso-vg46-500ml-para-bomba-vacuo-suryha?parceiro=9290&amp;parceiro=1319&amp;gclid=Cj0KCQjw2v-gBhC1ARIsAOQdKY0G4Zd3crJoXowlWvcq8AKlDNaSfL_kiADFUvNJ99_GM-HRR7AnYicaApsEEALw_wcB"/>
    <hyperlink ref="BC168" r:id="rId591" display="https://www.refrigeracaocatavento.com.br/oleo-bomba-de-vacuo-iso-vg-46-montreal?parceiro=6374"/>
    <hyperlink ref="BI168" r:id="rId592" display="https://sardanharefrigeracao.com.br/produto/oleo-montreal-para-bomba-de-vacuo-champ-rf-iso-vg-46/?utm_source=Google%20Shopping&amp;utm_campaign=AdsGoogle-Sardanha&amp;utm_medium=cpc&amp;utm_term=1025&amp;gclid=Cj0KCQjwtsCgBhDEARIsAE7RYh2GzSR17V5dR685RidDCTgbzxJKu_6HokVjQxE7szPbK0N66i5Xi-MaAiYuEALw_wcB"/>
    <hyperlink ref="J169" r:id="rId593" display="https://sipac.sig.ufal.br/sipac/visualizaMaterial.do?popup=true&amp;id=23706&amp;acao=12"/>
    <hyperlink ref="AW169" r:id="rId594" display="https://www.mmcomercio.net.br/produto/oleo-pimersao-pmicroscopia-100ml-laborclin.html?utm_source=Site&amp;utm_medium=GoogleMerchant&amp;utm_campaign=GoogleMerchant&amp;gclid=Cj0KCQjwtsCgBhDEARIsAE7RYh2B2IaRZ9ZHdlSmVlGcWTv2F4cBFnyWnQ-UW8ls4KurC8GdOjCgWQAaAnjNEALw_wcB"/>
    <hyperlink ref="BC169" r:id="rId595" display="https://www.lojaprlabor.com.br/produtos/oleo-de-imersao-100ml/?pf=gs&amp;variant=344389914"/>
    <hyperlink ref="BI169" r:id="rId596" display="https://www.vitchlab.com.br/acessorios/produtos-novos/oleo-de-imersao-100ml-p-10-0777-003-00-72-vitchlab?parceiro=7632&amp;srsltid=Ad5pg_EkTZ2aGVnJBPtZ4AGbPfcWzLLYMo_7xWxSMcR22uM4mWWhL2JLAew"/>
    <hyperlink ref="J170" r:id="rId597" display="https://sipac.sig.ufal.br/sipac/visualizaMaterial.do?popup=true&amp;id=28154&amp;acao=12"/>
    <hyperlink ref="AW170" r:id="rId598" display="https://www.multifrioshop.com/refrigeracao-comercial/oleos/oleo-mineral-para-bomba-de-vacuo-iso-vg-46-montreal-1-litro?parceiro=2316&amp;gclid=Cj0KCQjw2v-gBhC1ARIsAOQdKY2UYOZuetSDeiF5nswMSVMAYCeaqHXv0kkJN4Ow20TOsY5Gh1xH4MwaAlBsEALw_wcB"/>
    <hyperlink ref="BC170" r:id="rId599" display="https://www.difusor.com.br/oleo-para-bomba-de-vacuo?utm_source=Site&amp;utm_medium=GoogleMerchant&amp;utm_campaign=GoogleMerchant&amp;gclid=Cj0KCQjwtsCgBhDEARIsAE7RYh1q7As2w78dO7mmWRUPAqtSJ_WeVcgB_lD5eVO035-8a3Y-S66gbsUaArtmEALw_wcB"/>
    <hyperlink ref="BI170" r:id="rId600" display="https://www.refrigeracaocatavento.com.br/oleo-bomba-vacuo-iso32-500ml-suryha?parceiro=6374"/>
    <hyperlink ref="J171" r:id="rId601" display="https://sipac.sig.ufal.br/sipac/visualizaMaterial.do?popup=true&amp;id=23711&amp;acao=12"/>
    <hyperlink ref="AW171" r:id="rId602" display="https://www.lojaprolab.com.br/oxalato-de-sodio-pa-acs-79427"/>
    <hyperlink ref="BC171" r:id="rId603" display="https://www.biomedh.com.br/007477/oxalato-de-sodio-pa-acs-500gr.html"/>
    <hyperlink ref="BI171" r:id="rId604" display="https://www.glasslab.com.br/reagentes-e-meios/oxalato-de-sodio-pa-acs-500g"/>
    <hyperlink ref="J172" r:id="rId605" display="https://sipac.sig.ufal.br/sipac/visualizaMaterial.do?popup=true&amp;id=30422&amp;acao=12"/>
    <hyperlink ref="AW172" r:id="rId606" display="https://www.glasslab.com.br/reagentes-e-meios/oxido-de-aluminio-alumina-pa-500g?parceiro=6858&amp;gclid=Cj0KCQjwtsCgBhDEARIsAE7RYh1ugCVCGwE1rZesy8LRpSxVPQSzkIFKCZ9_BecmzoaXekI0sn9jRxUaAlG4EALw_wcB"/>
    <hyperlink ref="BC172" r:id="rId607" display="https://www.orionprodutoscientificos.com.br/oxido-de-aluminio-pa-500g-exodo-cientifica?utm_source=Site&amp;utm_medium=GoogleMerchant&amp;utm_campaign=GoogleMerchant"/>
    <hyperlink ref="BI172" r:id="rId608" display="https://www.lojaprolab.com.br/oxido-de-aluminio-pa-79429"/>
    <hyperlink ref="J173" r:id="rId609" display="https://sipac.sig.ufal.br/sipac/visualizaMaterial.do?popup=true&amp;id=23714&amp;acao=12"/>
    <hyperlink ref="AW173" r:id="rId610" display="https://www.acsreagentes.com.br/oxido-de-calcio-pa-500g-acs-cientifica?gclid=Cj0KCQjwtsCgBhDEARIsAE7RYh3C7f_z1Tc9dcxI-hBOzQniAhLBCkOzl1nOmiaCM8fIYwWEehQog48aAqkMEALw_wcB"/>
    <hyperlink ref="BC173" r:id="rId611" display="https://www.didaticasp.com.br/oxido-de-calcio-pa-500g"/>
    <hyperlink ref="BI173" r:id="rId612" display="https://www.lojaprolab.com.br/oxido-de-calcio-pa-79434"/>
    <hyperlink ref="J174" r:id="rId613" display="https://sipac.sig.ufal.br/sipac/visualizaMaterial.do?popup=true&amp;id=30423&amp;acao=12"/>
    <hyperlink ref="AW174" r:id="rId614" display="https://www.acsreagentes.com.br/oxido-de-cobre-iiico-preto-em-po-pa-500g-acs-cientifica?utm_source=Site&amp;utm_medium=GoogleMerchant&amp;utm_campaign=GoogleMerchant&amp;gclid=Cj0KCQjwtsCgBhDEARIsAE7RYh0X2M9hLhesKYkf6MQnutde61a0DKRlqdKzyDOyf_m1qrazzJx8lSUaAnCjEALw_wcB"/>
    <hyperlink ref="BC174" r:id="rId615" display="https://www.glasslab.com.br/reagentes-e-meios/oxido-de-cobre-ii-ico-pa-500g?parceiro=6858&amp;gclid=Cj0KCQjwtsCgBhDEARIsAE7RYh2c4hYD42qc9tE82Fj_EYKW3gUXQ3FQoQ55yUu4Vv74EujCUWrBf6AaAguLEALw_wcB"/>
    <hyperlink ref="BI174" r:id="rId616" display="https://www.didaticasp.com.br/oxido-de-cobre-ii-ico-pa-500g"/>
    <hyperlink ref="J175" r:id="rId617" display="https://sipac.sig.ufal.br/sipac/visualizaMaterial.do?popup=true&amp;id=24917&amp;acao=12"/>
    <hyperlink ref="AW175" r:id="rId618" display="https://www.orionprodutoscientificos.com.br/oxido-de-manganes-iv-90-95-po-pa-bioxido-500g-exodo-cientifica?utm_source=Site&amp;utm_medium=GoogleMerchant&amp;utm_campaign=GoogleMerchant"/>
    <hyperlink ref="J176" r:id="rId619" display="https://sipac.sig.ufal.br/sipac/visualizaMaterial.do?popup=true&amp;id=25868&amp;acao=12"/>
    <hyperlink ref="AW176" r:id="rId620" display="https://www.lojanetlab.com.br/reagentes/pa/oxido-de-ferro-iii-ico-pa"/>
    <hyperlink ref="BC176" r:id="rId621" display="https://www.lojaprolab.com.br/oxido-de-ferro-iii-ico-pa-79442"/>
    <hyperlink ref="BI176" r:id="rId622" display="https://www.didaticasp.com.br/oxido-de-ferro-iii-ico-pa-100g"/>
    <hyperlink ref="J177" r:id="rId623" display="https://sipac.sig.ufal.br/sipac/visualizaMaterial.do?popup=true&amp;id=30424&amp;acao=12"/>
    <hyperlink ref="AW177" r:id="rId624" display="https://www.orionprodutoscientificos.com.br/oxido-de-manganes-iv-90-95-po-pa-bioxido-500g-exodo-cientifica?utm_source=Site&amp;utm_medium=GoogleMerchant&amp;utm_campaign=GoogleMerchant"/>
    <hyperlink ref="BC177" r:id="rId625" display="https://www.glasslab.com.br/reagentes-e-meios/oxido-de-manganes-iv-90-95-pa-500g?parceiro=6858&amp;srsltid=Ad5pg_EdoQzmIjgZleYb_BdXO51ZdEgWktIBijTDy-NdHWKYDkw0kQyokxk"/>
    <hyperlink ref="BI177" r:id="rId626" display="https://www.labimport.com.br/reagentes/oxido-de-manganes/oxido-de-manganes-iv-90-a-95-pa-bioxido-500g"/>
    <hyperlink ref="J178" r:id="rId627" display="https://sipac.sig.ufal.br/sipac/visualizaMaterial.do?popup=true&amp;id=30409&amp;acao=12"/>
    <hyperlink ref="J179" r:id="rId628" display="https://sipac.sig.ufal.br/sipac/visualizaMaterial.do?popup=true&amp;id=30408&amp;acao=12"/>
    <hyperlink ref="J180" r:id="rId629" display="https://sipac.sig.ufal.br/sipac/visualizaMaterial.do?popup=true&amp;id=30407&amp;acao=12"/>
    <hyperlink ref="AW180" r:id="rId630" display="https://www.pro-analise.com.br/padrao-cor-platina-cobalto_1002460250-Merck"/>
    <hyperlink ref="J181" r:id="rId631" display="https://sipac.sig.ufal.br/sipac/visualizaMaterial.do?popup=true&amp;id=24914&amp;acao=12"/>
    <hyperlink ref="AW181" r:id="rId632" display="https://www.acsreagentes.com.br/pancreatina-pa-500g-acs-cientifica?utm_source=Site&amp;utm_medium=GoogleMerchant&amp;utm_campaign=GoogleMerchant&amp;gclid=Cj0KCQjw2cWgBhDYARIsALggUhrhNCRoqIfqvJdIrJvbc9vzULAduNDv9Fnr5uDnuJ9OZhgoMo_Zh7EaArC9EALw_wcB"/>
    <hyperlink ref="BC181" r:id="rId633" display="https://www.glasslab.com.br/reagentes-e-meios/pancreatina-pa-500g?parceiro=6858&amp;gclid=Cj0KCQjw2cWgBhDYARIsALggUhpBjUQvQVkbDeCs1iGFLk3mhQBDxrh_PU3hoeYuHm_OrPTHKrcZUQYaAgyuEALw_wcB"/>
    <hyperlink ref="J182" r:id="rId634" display="https://sipac.sig.ufal.br/sipac/visualizaMaterial.do?popup=true&amp;id=23754&amp;acao=12"/>
    <hyperlink ref="AW182" r:id="rId635" display="https://www.orionprodutoscientificos.com.br/parafina-histologica-58-62-1kg-exodo-cientifica?utm_source=Site&amp;utm_medium=GoogleMerchant&amp;utm_campaign=GoogleMerchant"/>
    <hyperlink ref="BC182" r:id="rId636" display="https://www.lojasynth.com/reagentes-analiticosmaterias-primas/reagentes-analiticosmaterias-primas/parafina-histologica-56-58-c?parceiro=2827&amp;variant_id=301297"/>
    <hyperlink ref="BI182" r:id="rId637" display="https://www.lojanetlab.com.br/reagentes/pa/parafina-histologica-56-58c-500g"/>
    <hyperlink ref="J183" r:id="rId638" display="https://sipac.sig.ufal.br/sipac/visualizaMaterial.do?popup=true&amp;id=23822&amp;acao=12"/>
    <hyperlink ref="AW183" r:id="rId639" display="https://www.glasslab.com.br/reagentes-e-meios/permanganato-de-potassio-pa-acs-1kg?parceiro=6858&amp;gclid=Cj0KCQjw2cWgBhDYARIsALggUhpthQEvGFT3PXS2k6hVsOS6RPOkpJuD8Gt_5c3NxEnVDzNEztneWfUaAoiYEALw_wcB"/>
    <hyperlink ref="BC183" r:id="rId640" display="http://www.orbitallab.com.br/permanganato-de-potassio-pa-acs-(produto-controlado-pela-policia-federal)-2089"/>
    <hyperlink ref="J184" r:id="rId641" display="https://sipac.sig.ufal.br/sipac/visualizaMaterial.do?popup=true&amp;id=23825&amp;acao=12"/>
    <hyperlink ref="AW184" r:id="rId642" display="https://www.acsreagentes.com.br/peroxido-de-hidrogenio-50-200-vol-agua-oxigenada-pa-1l-acs-cientifica?utm_source=Site&amp;utm_medium=GoogleMerchant&amp;utm_campaign=GoogleMerchant"/>
    <hyperlink ref="BC184" r:id="rId643" display="https://www.biomedh.com.br/007116/peroxido-de-hidrogenio-50-200vol-1000ml.html"/>
    <hyperlink ref="BI184" r:id="rId644" display="https://www.glasslab.com.br/reagentes-e-meios/peroxido-de-hidrogenio-50-200v-pa-1l"/>
    <hyperlink ref="J185" r:id="rId645" display="https://sipac.sig.ufal.br/sipac/visualizaMaterial.do?popup=true&amp;id=30783&amp;acao=12"/>
    <hyperlink ref="AW185" r:id="rId646" display="https://www.didaticasp.com.br/pirocatecol-pa-100g"/>
    <hyperlink ref="BC185" r:id="rId647" display="https://www.lojaprolab.com.br/pirocatecol-pa-pirocatequina-79491"/>
    <hyperlink ref="BI185" r:id="rId648" display="https://www.labimport.com.br/reagentes/pirocatequina/pirocatecol-pa-pirocatequina-100g"/>
    <hyperlink ref="J186" r:id="rId649" display="https://sipac.sig.ufal.br/sipac/visualizaMaterial.do?popup=true&amp;id=25884&amp;acao=12"/>
    <hyperlink ref="AW186" r:id="rId650" display="https://www.ciruvix.com.br/polietilenoglicol-6000-pa-500g-dinamica"/>
    <hyperlink ref="BC186" r:id="rId651" display="https://www.lojasynth.com/reagentes-analiticosmaterias-primas/reagentes-analiticosmaterias-primas/polietilenoglicol-6000-peg-polietileno-glicol-pa?variant_id=301356"/>
    <hyperlink ref="BI186" r:id="rId652" display="https://ludwigbiotec.com.br/loja/produto/polietilenoglicol-6000-1-000-g/1209"/>
    <hyperlink ref="J187" r:id="rId653" display="https://sipac.sig.ufal.br/sipac/visualizaMaterial.do?popup=true&amp;id=23482&amp;acao=12"/>
    <hyperlink ref="AW187" r:id="rId654" display="https://www.glasslab.com.br/reagentes-e-meios/preto-de-eriocromo-t-ci-14645-pa-acs-25g?parceiro=6858&amp;gclid=Cj0KCQjw2cWgBhDYARIsALggUhqEQS5tA36CfNxRfrOHjku7iGZRZmQCW8YZTB_4c2JGAp8uGPTrlQ0aAnFYEALw_wcB"/>
    <hyperlink ref="BC187" r:id="rId655" display="https://www.acsreagentes.com.br/negropretode-eriocromo-t-eriochrome-black-ci-14645-25g-acs-cientifica?utm_source=Site&amp;utm_medium=GoogleMerchant&amp;utm_campaign=GoogleMerchant"/>
    <hyperlink ref="BI187" r:id="rId656" display="https://www.laderquimica.com.br/preto-de-eriocromo-t-pa-25g-neon"/>
    <hyperlink ref="J188" r:id="rId657" display="https://sipac.sig.ufal.br/sipac/visualizaMaterial.do?popup=true&amp;id=27613&amp;acao=12"/>
    <hyperlink ref="AW188" r:id="rId658" display="https://www.lojaprolab.com.br/reagente-de-bradford-pronto-para-uso-frasco-500ml-90911?utm_source=google&amp;utm_medium=feed&amp;utm_campaign=shopping&amp;gclid=Cj0KCQjw2cWgBhDYARIsALggUho-eScbLSKBCC_yTjEm0qLj5GVyvR23pSxBD4t1U6p6vPVKB6VevKYaAjtIEALw_wcB"/>
    <hyperlink ref="BC188" r:id="rId659" display="https://www.acsreagentes.com.br/reativo-de-bradford-500ml-acs-cientifica?utm_source=Site&amp;utm_medium=GoogleMerchant&amp;utm_campaign=GoogleMerchant&amp;gclid=Cj0KCQjw2cWgBhDYARIsALggUhpV-BgUAjg3qvNve_SnN-e-cJcxoKl7PYODOunLh-lzSOAMSLYp0_AaAg8GEALw_wcB"/>
    <hyperlink ref="BI188" r:id="rId660" display="https://www.sigmaaldrich.com/BR/pt/product/sigma/b6916"/>
    <hyperlink ref="J189" r:id="rId661" display="https://sipac.sig.ufal.br/sipac/visualizaMaterial.do?popup=true&amp;id=28269&amp;acao=12"/>
    <hyperlink ref="AW189" r:id="rId662" display="https://www.labimport.com.br/reagentes/reativo/reativo-folin-ciocalteau-500ml-12227"/>
    <hyperlink ref="BC189" r:id="rId663" display="https://www.orionprodutoscientificos.com.br/reativo-folin-ciocalteau-500ml-exodo-cientifica?utm_source=Site&amp;utm_medium=GoogleMerchant&amp;utm_campaign=GoogleMerchant"/>
    <hyperlink ref="BI189" r:id="rId664" display="https://www.orionprodutoscientificos.com.br/reativo-folin-ciocalteau-500ml-exodo-cientifica?utm_source=Site&amp;utm_medium=GoogleMerchant&amp;utm_campaign=GoogleMerchant"/>
    <hyperlink ref="J190" r:id="rId665" display="https://sipac.sig.ufal.br/sipac/visualizaMaterial.do?popup=true&amp;id=25885&amp;acao=12"/>
    <hyperlink ref="AW190" r:id="rId666" display="https://www.biomedh.com.br/007706/resorcina-resorcinol-pa-100gr.html"/>
    <hyperlink ref="BC190" r:id="rId667" display="https://www.acsreagentes.com.br/resorcina-resorsinol-pa-100g-acs-cientifica?utm_source=Site&amp;utm_medium=GoogleMerchant&amp;utm_campaign=GoogleMerchant&amp;gclid=Cj0KCQjw2cWgBhDYARIsALggUhqHkkQwrLsDMO7qpUgkQF2imZG55RdXIdhP5UOBr_otQFGWiW8e8ikaAtF-EALw_wcB"/>
    <hyperlink ref="BI190" r:id="rId668" display="https://www.glasslab.com.br/reagentes-e-meios/resorcina-resorcinol-pa-100g?parceiro=6858&amp;gclid=Cj0KCQjw2cWgBhDYARIsALggUhqrI5hPoKSgTiZ00ZMBoxusSgaEL839IDSie4veAq6TJDtr5FRfMOIaAqgREALw_wcB"/>
    <hyperlink ref="J191" r:id="rId669" display="https://sipac.sig.ufal.br/sipac/visualizaMaterial.do?popup=true&amp;id=31010&amp;acao=12"/>
    <hyperlink ref="AW191" r:id="rId670" display="https://www.thermofisher.com/order/catalog/product/br/pt/AM9780"/>
    <hyperlink ref="J192" r:id="rId671" display="https://sipac.sig.ufal.br/sipac/visualizaMaterial.do?popup=true&amp;id=23716&amp;acao=12"/>
    <hyperlink ref="AW192" r:id="rId672" display="https://www.labimport.com.br/reagentes/sacarose/sacarose-sucrose-pa-acs-1kg-12239"/>
    <hyperlink ref="BC192" r:id="rId673" display="https://www.glasslab.com.br/reagentes-e-meios/sacarose-sucrose-pa-acs-1kg?parceiro=6858&amp;srsltid=Ad5pg_EJ8PU31zpayRHWFKcsERsaKh6v1N1JVxBePOVVYQtfR_cAD4Nv4nQ"/>
    <hyperlink ref="BI192" r:id="rId674" display="https://www.orionprodutoscientificos.com.br/sacarose-p-a-1000-g-fabricante-neon-N02087?utm_source=Site&amp;utm_medium=GoogleMerchant&amp;utm_campaign=GoogleMerchant"/>
    <hyperlink ref="J193" r:id="rId675" display="https://sipac.sig.ufal.br/sipac/visualizaMaterial.do?popup=true&amp;id=30785&amp;acao=12"/>
    <hyperlink ref="J194" r:id="rId676" display="https://sipac.sig.ufal.br/sipac/visualizaMaterial.do?popup=true&amp;id=23712&amp;acao=12"/>
    <hyperlink ref="AW194" r:id="rId677" display="https://www.orionprodutoscientificos.com.br/safranina-t-p-a-c-i-50240-25-g-fabricante-neon"/>
    <hyperlink ref="BC194" r:id="rId678" display="https://www.lojanetlab.com.br/reagentes/pa/safranina-ci-50240"/>
    <hyperlink ref="BI194" r:id="rId679" display="https://www.glasslab.com.br/reagentes-e-meios/safranina-t-ci-50240-25g?parceiro=6858&amp;gclid=Cj0KCQjw2cWgBhDYARIsALggUhrQLfDbbyYXELcjG4QeDSA-2sqSfL3Qxsc8b-T9n8Fw2mGghS025voaAjpXEALw_wcB"/>
    <hyperlink ref="J195" r:id="rId680" display="https://sipac.sig.ufal.br/sipac/visualizaMaterial.do?popup=true&amp;id=24899&amp;acao=12"/>
    <hyperlink ref="AW195" r:id="rId681" display="https://www.glasslab.com.br/reagentes-e-meios/selenito-de-sodio-anidro-pa-100g?parceiro=6858&amp;gclid=Cj0KCQjw2cWgBhDYARIsALggUhrQKcTkpSWj6XCEfdAWvu5rXwgMpFZKLH1FfzaSsAxrNYzV1hVnAjIaAj2CEALw_wcB"/>
    <hyperlink ref="BC195" r:id="rId682" display="https://www.acsreagentes.com.br/selenito-de-sodio-anidro-pa-100g-acs-cientifica?utm_source=Site&amp;utm_medium=GoogleMerchant&amp;utm_campaign=GoogleMerchant"/>
    <hyperlink ref="BI195" r:id="rId683" display="https://www.didaticasp.com.br/produto/selenito-de-sodio-anidro-pa-100g-cas-10102-18-8.html"/>
    <hyperlink ref="J196" r:id="rId684" display="https://sipac.sig.ufal.br/sipac/visualizaMaterial.do?popup=true&amp;id=23709&amp;acao=12"/>
    <hyperlink ref="AW196" r:id="rId685" display="https://www.labimport.com.br/reagentes/silicagel/silica-gel-azul-4-a-8mm-pa-500g"/>
    <hyperlink ref="BC196" r:id="rId686" display="https://www.didaticasp.com.br/silicagel-azul-4-a-8mm-pa-500g"/>
    <hyperlink ref="BI196" r:id="rId687" display="https://www.laderquimica.com.br/silica-gel-azul-4-a-8mm-pa-500g-neon"/>
    <hyperlink ref="J197" r:id="rId688" display="https://sipac.sig.ufal.br/sipac/visualizaMaterial.do?popup=true&amp;id=23707&amp;acao=12"/>
    <hyperlink ref="AW197" r:id="rId689" display="https://www.didaticasp.com.br/silicato-de-sodio-puro-500g"/>
    <hyperlink ref="BC197" r:id="rId690" display="https://www.lojaprolab.com.br/silicato-de-sodio-puro-79751"/>
    <hyperlink ref="BI197" r:id="rId691" display="https://www.orionprodutoscientificos.com.br/silicato-de-sodio-puro-500g-exodo-cientifica?utm_source=Site&amp;utm_medium=GoogleMerchant&amp;utm_campaign=GoogleMerchant"/>
    <hyperlink ref="J198" r:id="rId692" display="https://sipac.sig.ufal.br/sipac/visualizaMaterial.do?popup=true&amp;id=30777&amp;acao=12"/>
    <hyperlink ref="AW198" r:id="rId693" display="https://www.acsreagentes.com.br/azul-de-cresil-brilhante-ci-51010-5g-acs-cientifica?utm_source=Site&amp;utm_medium=GoogleMerchant&amp;utm_campaign=GoogleMerchant&amp;gclid=Cj0KCQiAx6ugBhCcARIsAGNmMbh7GPJCo8wGyXlOfLYl6LBW-YAINRhEwiiYiTb1zf0nEUGod_nSEDEaAlrdEALw_wcB"/>
    <hyperlink ref="BC198" r:id="rId694" display="https://www.orionprodutoscientificos.com.br/azul-de-cresil-brilhante-c-i-51010-25-g-fabricante-neon"/>
    <hyperlink ref="BI198" r:id="rId695" display="https://www.glasslab.com.br/reagentes-e-meios/corantes-quimicos/azul-cresil-brilhante-ci-51010-25g?parceiro=6858&amp;srsltid=Ad5pg_GRXlsuXlnjdJO9hX4yJa3vuy4A0VL4NOVnYdJhJXJrfZZyDStvllQ"/>
    <hyperlink ref="J199" r:id="rId696" display="https://sipac.sig.ufal.br/sipac/visualizaMaterial.do?popup=true&amp;id=23880&amp;acao=12"/>
    <hyperlink ref="AW199" r:id="rId697" display="https://www.lojanetlab.com.br/solucao-tampao-buffer-ph-10-00-frasco-de-500ml-dinamica"/>
    <hyperlink ref="BC199" r:id="rId698" display="https://www.labimport.com.br/reagentes/solucoes/solucao-tampao-buffer-ph-10-00-500ml"/>
    <hyperlink ref="BI199" r:id="rId699" display="https://www.lojasynth.com/solucoes/solucoes-tampao-e-kcl/solucao-tampao-ph-10-0-buffer"/>
    <hyperlink ref="J200" r:id="rId700" display="https://sipac.sig.ufal.br/sipac/visualizaMaterial.do?popup=true&amp;id=23881&amp;acao=12"/>
    <hyperlink ref="AW200" r:id="rId701" display="https://www.acsreagentes.com.br/solucao-tampao-buffer-ph-300-500ml-acs-cientifica"/>
    <hyperlink ref="BC200" r:id="rId702" display="https://www.glasslab.com.br/reagentes-e-meios/tampao-buffer-ph-3-00-500ml?parceiro=6858&amp;gclid=Cj0KCQjw2cWgBhDYARIsALggUhr8DtcNO-IDvSRmKA_USozsONmaLacTO6B-Q8rutHFR3FnKVqps1zIaAtAfEALw_wcB"/>
    <hyperlink ref="BI200" r:id="rId703" display="https://www.didaticasp.com.br/solucao-tampao-ph-300-500ml"/>
    <hyperlink ref="J201" r:id="rId704" display="https://sipac.sig.ufal.br/sipac/visualizaMaterial.do?popup=true&amp;id=23882&amp;acao=12"/>
    <hyperlink ref="AW201" r:id="rId705" display="https://www.mmcomercio.net.br/produto/solucao-tampao-buffer-ph-400-500ml-exodo.html?utm_source=Site&amp;utm_medium=GoogleMerchant&amp;utm_campaign=GoogleMerchant&amp;gclid=Cj0KCQjw2cWgBhDYARIsALggUhqAtrhdut-9KU1PMbgaq3RsDMpx6FOdr2AUwAug1gdV8V-WP0r_AIsaApO_EALw_wcB"/>
    <hyperlink ref="BC201" r:id="rId706" display="https://www.glasslab.com.br/reagentes-e-meios/tampao-buffer-ph-4-00-500ml?parceiro=6858&amp;gclid=Cj0KCQjw2cWgBhDYARIsALggUhqKYAdJjZ-madJWCalpddmBC9RnzjwhYfaBfuq2R0hecZUi1X_ZbMMaAmyDEALw_wcB"/>
    <hyperlink ref="BI201" r:id="rId707" display="https://www.quimicenter.com.br/reagentes-para-laboratorios-sol-tampao-10-00-500ml-imbralab?parceiro=2837&amp;gclid=Cj0KCQjw2cWgBhDYARIsALggUhoRdZUUnUVifq8kd3GXYYkr52tYHlhoQMU0UnVhAIQjgtwdUq7UlssaArWrEALw_wcB"/>
    <hyperlink ref="J202" r:id="rId708" display="https://sipac.sig.ufal.br/sipac/visualizaMaterial.do?popup=true&amp;id=23701&amp;acao=12"/>
    <hyperlink ref="AW202" r:id="rId709" display="https://www.lojanetlab.com.br/solucao-tampao-buffer-ph-7-00-frasco-de-500ml-dinamica"/>
    <hyperlink ref="BC202" r:id="rId710" display="https://www.lojasynth.com/solucoes/solucoes-tampao-e-kcl/solucao-tampao-ph-7-0-buffer"/>
    <hyperlink ref="BI202" r:id="rId711" display="https://www.labimport.com.br/reagentes/solucoes/solucao-tampao-ph-7-0-buffer-500ml"/>
    <hyperlink ref="J203" r:id="rId712" display="https://sipac.sig.ufal.br/sipac/visualizaMaterial.do?popup=true&amp;id=28217&amp;acao=12"/>
    <hyperlink ref="AW203" r:id="rId713" display="https://www.acsreagentes.com.br/sudan-iii-ci-26100-25g-acs-cientifica"/>
    <hyperlink ref="BC203" r:id="rId714" display="https://www.lojanetlab.com.br/reagentes/pa/sudam-iii-ci-26100"/>
    <hyperlink ref="BI203" r:id="rId715" display="https://www.glasslab.com.br/reagentes-e-meios/sudan-iii-ci-26100-25g?parceiro=6858&amp;gclid=Cj0KCQjw2cWgBhDYARIsALggUhrv0dB2Pfh5EOnW7_Ae42hEx-UOmdQXRaMGuyXMFBv39td4BZu0hcwaAr9yEALw_wcB"/>
    <hyperlink ref="J204" r:id="rId716" display="https://sipac.sig.ufal.br/sipac/visualizaMaterial.do?popup=true&amp;id=25909&amp;acao=12"/>
    <hyperlink ref="AW204" r:id="rId717" display="https://www.lojasynth.com/reagentes-analiticosmaterias-primas/reagentes-analiticosmaterias-primas/sulfato-de-aluminio-14-a-18-h2o-p-a-a-c-s?variant_id=301547"/>
    <hyperlink ref="BC204" r:id="rId718" display="https://www.pro-analise.com.br/reagentes?product_id=6905"/>
    <hyperlink ref="BI204" r:id="rId719" display="https://www.glasslab.com.br/reagentes-e-meios/sulfato-de-aluminio-14-18h2o-pa-1kg"/>
    <hyperlink ref="J205" r:id="rId720" display="https://sipac.sig.ufal.br/sipac/visualizaMaterial.do?popup=true&amp;id=23696&amp;acao=12"/>
    <hyperlink ref="AW205" r:id="rId721" display="https://www.acsreagentes.com.br/sulfato-de-aluminio-anidro-pa-500g-acs-cientifica"/>
    <hyperlink ref="J206" r:id="rId722" display="https://sipac.sig.ufal.br/sipac/visualizaMaterial.do?popup=true&amp;id=23697&amp;acao=12"/>
    <hyperlink ref="AW206" r:id="rId723" display="https://www.lojasynth.com/reagentes-analiticosmaterias-primas/reagentes-analiticosmaterias-primas/sulfato-de-aluminio-e-potassio-12h2o-p-a-a-c-s-embalagem-500g"/>
    <hyperlink ref="BC206" r:id="rId724" display="https://www.lojaprolab.com.br/sulfato-de-aluminio-e-potassio-12h2o-pa-acs-79763"/>
    <hyperlink ref="BI206" r:id="rId725" display="https://ludwigbiotec.com.br/loja/produto/sulfato-de-aluminio-e-potassio-dodecahidratado-p-a-500-g/1273"/>
    <hyperlink ref="J207" r:id="rId726" display="https://sipac.sig.ufal.br/sipac/visualizaMaterial.do?popup=true&amp;id=23694&amp;acao=12"/>
    <hyperlink ref="AW207" r:id="rId727" display="https://www.lojasynth.com/reagentes-analiticosmaterias-primas/reagentes-analiticosmaterias-primas/sulfato-de-amonio-p-a?parceiro=2827&amp;variant_id=303730"/>
    <hyperlink ref="BC207" r:id="rId728" display="https://www.biomedh.com.br/007515/sulfato-de-amonio-pa-1000gr.html"/>
    <hyperlink ref="BE207" r:id="rId729" display="EXODO"/>
    <hyperlink ref="BI207" r:id="rId730" display="https://www.lojanetlab.com.br/sulfato-de-amonio-pa-acs-1000gr-dinamica"/>
    <hyperlink ref="J208" r:id="rId731" display="https://sipac.sig.ufal.br/sipac/visualizaMaterial.do?popup=true&amp;id=23693&amp;acao=12"/>
    <hyperlink ref="AW208" r:id="rId732" display="https://www.glasslab.com.br/reagentes-e-meios/sulfato-de-calcio-2h2o-pa-1kg?parceiro=6858"/>
    <hyperlink ref="BC208" r:id="rId733" display="https://www.lojasynth.com/reagentes-analiticosmaterias-primas/reagentes-analiticosmaterias-primas/sulfato-de-calcio-2h2o-p-a?variant_id=301086"/>
    <hyperlink ref="BG208" r:id="rId734" display="15.188.525/0001-70"/>
    <hyperlink ref="BI208" r:id="rId735" display="https://www.lojaprlabor.com.br/produtos/sulfato-de-calcio-2h2o-pa-500g/"/>
    <hyperlink ref="J209" r:id="rId736" display="https://sipac.sig.ufal.br/sipac/visualizaMaterial.do?popup=true&amp;id=23692&amp;acao=12"/>
    <hyperlink ref="AW209" r:id="rId737" display="https://www.laderquimica.com.br/sulfato-de-cobre-ii-ico-5h2o-pa-acs-500g-dinamica?utm_source=Site&amp;utm_medium=GoogleMerchant&amp;utm_campaign=GoogleMerchant&amp;srsltid=Ad5pg_G-mR17s65cWsUaIVFYAMkytWrwH6oYCAacqfN3u8QwFBQtZ52dmlo"/>
    <hyperlink ref="BC209" r:id="rId738" display="https://www.labimport.com.br/reagentes/sulfato-de-cobre/sulfato-de-cobre-ii-ico-5h2o-pa-acs-500g-12297"/>
    <hyperlink ref="BI209" r:id="rId739" display="https://www.orionprodutoscientificos.com.br/sulfato-de-cobre-ii-ico-5-h2o-pa-acs-500g-exodo-cientifica?utm_source=Site&amp;utm_medium=GoogleMerchant&amp;utm_campaign=GoogleMerchant"/>
    <hyperlink ref="J210" r:id="rId740" display="https://sipac.sig.ufal.br/sipac/visualizaMaterial.do?popup=true&amp;id=30786&amp;acao=12"/>
    <hyperlink ref="AW210" r:id="rId741" display="https://www.orionprodutoscientificos.com.br/sulfato-de-ferro-ii-oso7-h2o-pa-500g-exodo-cientifica?utm_source=Site&amp;utm_medium=GoogleMerchant&amp;utm_campaign=GoogleMerchant"/>
    <hyperlink ref="BC210" r:id="rId742" display="https://www.lojasynth.com/reagentes-analiticosmaterias-primas/reagentes-analiticosmaterias-primas/sulfato-de-ferro-oso-7h2o-p-a-a-c-s?parceiro=2827&amp;variant_id=301011"/>
    <hyperlink ref="BI210" r:id="rId743" display="https://www.biomedh.com.br/007702/sulfato-de-ferro-ii-oso-7h2o-pa-acs-500gr.html"/>
    <hyperlink ref="J211" r:id="rId744" display="https://sipac.sig.ufal.br/sipac/visualizaMaterial.do?popup=true&amp;id=23687&amp;acao=12"/>
    <hyperlink ref="BC211" r:id="rId745" display="https://www.biomedh.com.br/007726/sulfato-ferro-ii-oso-e-amonio-6h2o-pa-acs-250gr.html"/>
    <hyperlink ref="BI211" r:id="rId746" display="https://ludwigbiotec.com.br/loja/produto/sulfato-de-ferro-ii-amoniacal-hexahidratado-p-a-500-g/1297"/>
    <hyperlink ref="J212" r:id="rId747" display="https://sipac.sig.ufal.br/sipac/visualizaMaterial.do?popup=true&amp;id=30440&amp;acao=12"/>
    <hyperlink ref="AW212" r:id="rId748" display="https://www.glasslab.com.br/reagentes-e-meios/sulfato-de-ferro-iii-ico-amon-pa-acs-500g?parceiro=6858&amp;srsltid=Ad5pg_H0m90BAg0Yhkv-Y0IXZVfjYKg_dKXbftARIUJZPxtr_HkmNZyTpZM"/>
    <hyperlink ref="BC212" r:id="rId749" display="https://www.orionprodutoscientificos.com.br/sulfato-de-ferro-iii-ico-e-amonio12-h2o-ferrico-amoniacal-pa-acs-500g-exodo-cientifica?utm_source=Site&amp;utm_medium=GoogleMerchant&amp;utm_campaign=GoogleMerchant"/>
    <hyperlink ref="BI212" r:id="rId750" display="https://www.biomedh.com.br/008103/sulfato-de-ferro-3-ico-e-amonio12h2o-pa-acs-500g.html"/>
    <hyperlink ref="J213" r:id="rId751" display="https://sipac.sig.ufal.br/sipac/visualizaMaterial.do?popup=true&amp;id=23686&amp;acao=12"/>
    <hyperlink ref="AW213" r:id="rId752" display="https://perfyltech.mercadoshops.com.br/MLB-2757363482-sulfato-de-magnesio-pa-acs-500g-_JM?gclid=Cj0KCQjwtsCgBhDEARIsAE7RYh3G5tCI6PEYjAv3Axzs2TAVTS2-1LdoZsjw0jlAeaZKJ03N4kxF4eYaAvkzEALw_wcB"/>
    <hyperlink ref="BC213" r:id="rId753" display="https://www.orionprodutoscientificos.com.br/sulfato-de-magnesio-7h2o-pa-500gr-exodo-cientifica?utm_source=Site&amp;utm_medium=GoogleMerchant&amp;utm_campaign=GoogleMerchant"/>
    <hyperlink ref="BI213" r:id="rId754" display="https://www.lojaprlabor.com.br/produtos/sulfato-de-magnesio-7h20-pa-acs-frasco-500g/?pf=gs&amp;variant=311100414"/>
    <hyperlink ref="J214" r:id="rId755" display="https://sipac.sig.ufal.br/sipac/visualizaMaterial.do?popup=true&amp;id=25899&amp;acao=12"/>
    <hyperlink ref="AW214" r:id="rId756" display="https://www.glasslab.com.br/reagentes-e-meios/sulfato-de-magnesio-anidro-pa-1kg"/>
    <hyperlink ref="BC214" r:id="rId757" display="https://www.labimport.com.br/reagentes/sulfato-de-magnesio/sulfato-de-magnesio-anidro-pa-1kg"/>
    <hyperlink ref="BI214" r:id="rId758" display="https://www.orionprodutoscientificos.com.br/sulfato-de-magnesio-anidro-pa-1kg-exodo-cientifica"/>
    <hyperlink ref="J215" r:id="rId759" display="https://sipac.sig.ufal.br/sipac/visualizaMaterial.do?popup=true&amp;id=8839&amp;acao=12"/>
    <hyperlink ref="AW215" r:id="rId760" display="https://www.glasslab.com.br/reagentes-e-meios/sulfato-de-mercurio-ii-ico-pa-acs-100g"/>
    <hyperlink ref="BC215" r:id="rId761" display="https://www.didaticasp.com.br/produto/sulfato-de-mercurio-ii-pa-100g-cas-7783-35-9.html"/>
    <hyperlink ref="BI215" r:id="rId762" display="https://www.acsreagentes.com.br/sulfato-de-mercurio-ii-ico-98-pa-acs-25g-acs-cientifica?utm_source=Site&amp;utm_medium=GoogleMerchant&amp;utm_campaign=GoogleMerchant&amp;gclid=Cj0KCQjwtsCgBhDEARIsAE7RYh3xf6ArgjOXjOw5tIy7qUOvvEEtUyVbs4JnXimpO3K6Zt8SPpf50TIaAqwXEALw_wcB"/>
    <hyperlink ref="J216" r:id="rId763" display="https://sipac.sig.ufal.br/sipac/visualizaMaterial.do?popup=true&amp;id=23683&amp;acao=12"/>
    <hyperlink ref="AW216" r:id="rId764" display="https://www.glasslab.com.br/reagentes-e-meios/sulfato-de-potassio-anidro-pa-acs-1kg?parceiro=6858&amp;gclid=Cj0KCQjwtsCgBhDEARIsAE7RYh3dVDr5T6Wgp-rVeCkZHwV9P14nLkyeWCBB04cEUxXCABFlJ52UZ4oaAm9SEALw_wcB"/>
    <hyperlink ref="BC216" r:id="rId765" display="https://www.lojasynth.com/reagentes-analiticosmaterias-primas/reagentes-analiticosmaterias-primas/sulfato-de-potassio-anidro-p-a-a-c-s?parceiro=2827&amp;variant_id=302661&amp;gclid=Cj0KCQjwtsCgBhDEARIsAE7RYh1etLoEpaYOPryWzAtUKjeLhWV86ttd-actq024wOKZW9YlAsOvEnwaAu6iEALw_wcB"/>
    <hyperlink ref="J217" r:id="rId766" display="https://sipac.sig.ufal.br/sipac/visualizaMaterial.do?popup=true&amp;id=23682&amp;acao=12"/>
    <hyperlink ref="AW217" r:id="rId767" display="https://www.acsreagentes.com.br/sulfato-de-prata-pa-acs-25g-acs-cientifica?gclid=Cj0KCQjwtsCgBhDEARIsAE7RYh0nXdF4rgLH3GeYLinf67vRqjo2CRTRUm2xsWGsNl00he1kYNLVX2YaAh7fEALw_wcB"/>
    <hyperlink ref="BC217" r:id="rId768" display="https://www.glasslab.com.br/reagentes-e-meios/sulfato-de-prata-pa-acs-25g?parceiro=6858&amp;gclid=Cj0KCQjwtsCgBhDEARIsAE7RYh38bApN5FpQ-31Duv2aeZoOEP4hoAZtj-gr9uPJ1nR9UcXJfO_XgTMaAp_GEALw_wcB"/>
    <hyperlink ref="BI217" r:id="rId769" display="https://www.lojasynth.com/reagentes-analiticosmaterias-primas/reagentes-analiticosmaterias-primas/sulfato-de-prata-p-a-a-c-s?parceiro=2827&amp;variant_id=301879&amp;gclid=Cj0KCQjwtsCgBhDEARIsAE7RYh0CUxq_lmrPkLTZBjE-WSxH4vev359MVEDG_RQYQ9soC42-yyWH3W0aAhNIEALw_wcB"/>
    <hyperlink ref="J218" r:id="rId770" display="https://sipac.sig.ufal.br/sipac/visualizaMaterial.do?popup=true&amp;id=1751&amp;acao=12"/>
    <hyperlink ref="AW218" r:id="rId771" display="https://www.glasslab.com.br/reagentes-e-meios/sulfato-de-sodio-anidro-pa-acs-1kg?parceiro=6858&amp;srsltid=Ad5pg_G13FOl_3pJRuzitA_eeyw8Di4iNepa1gGirjEQTK4gouMukP2r6Po"/>
    <hyperlink ref="BC218" r:id="rId772" display="https://www.orionprodutoscientificos.com.br/sulfato-de-sodio-anidro-pa-acs-1kg-exodo-cientifica?utm_source=Site&amp;utm_medium=GoogleMerchant&amp;utm_campaign=GoogleMerchant"/>
    <hyperlink ref="BI218" r:id="rId773" display="https://www.didaticasp.com.br/produto/sulfato-de-sodio-anidro-pa-acs-1kg-cas-7757-82-6-ssp.html"/>
    <hyperlink ref="J219" r:id="rId774" display="https://sipac.sig.ufal.br/sipac/visualizaMaterial.do?popup=true&amp;id=23662&amp;acao=12"/>
    <hyperlink ref="AW219" r:id="rId775" display="https://www.lojasynth.com/reagentes-analiticosmaterias-primas/reagentes-analiticosmaterias-primas/sulfato-de-zinco-7h2o-p-a-a-c-s?variant_id=302639&amp;parceiro=2827"/>
    <hyperlink ref="BC219" r:id="rId776" display="https://www.labimport.com.br/reagentes/sulfato-de-zinco/sulfato-de-zinco-7h2o-heptahidratado-pa-500g-12349"/>
    <hyperlink ref="BI219" r:id="rId777" display="https://www.didaticasp.com.br/produto/sulfato-de-zinco-heptahidratado-pa-500g-cas-7446-20-0.html"/>
    <hyperlink ref="J220" r:id="rId778" display="https://sipac.sig.ufal.br/sipac/visualizaMaterial.do?popup=true&amp;id=30788&amp;acao=12"/>
    <hyperlink ref="AW220" r:id="rId779" display="https://www.lojaprolab.com.br/sulfeto-de-amonio-saturado-80789?utm_source=google&amp;utm_medium=feed&amp;utm_campaign=shopping&amp;srsltid=Ad5pg_GX-DRPWdlPsSB5YXG3X1JF6K3PsM3J5IT5UyIPX6Ld6FLGeIRPhBU"/>
    <hyperlink ref="BC220" r:id="rId780" display="https://www.acsreagentes.com.br/sulfeto-de-amonio-saturado-1l-acs-cientifica?utm_source=Site&amp;utm_medium=GoogleMerchant&amp;utm_campaign=GoogleMerchant"/>
    <hyperlink ref="BI220" r:id="rId781" display="didaticasp.com.br/solucao-sulfeto-de-amonio-saturado-1l"/>
    <hyperlink ref="J221" r:id="rId782" display="https://sipac.sig.ufal.br/sipac/visualizaMaterial.do?popup=true&amp;id=23672&amp;acao=12"/>
    <hyperlink ref="AW221" r:id="rId783" display="https://www.glasslab.com.br/reagentes-e-meios/sulfeto-de-sodio-9h2o-pa-acs-500g"/>
    <hyperlink ref="J222" r:id="rId784" display="https://sipac.sig.ufal.br/sipac/visualizaMaterial.do?popup=true&amp;id=23676&amp;acao=12"/>
    <hyperlink ref="AW222" r:id="rId785" display="https://www.lojaprolab.com.br/sulfito-de-sodio-anidro-pa-acs-79805"/>
    <hyperlink ref="BC222" r:id="rId786" display="https://www.biomedh.com.br/007161/sulfito-de-sodio-anidro-pa-acs-1000gr.html"/>
    <hyperlink ref="BE222" r:id="rId787" display="EXODO"/>
    <hyperlink ref="BI222" r:id="rId788" display="https://www.laderquimica.com.br/sulfito-de-sodio-anidro-pa-acs-1kg-neon"/>
    <hyperlink ref="J223" r:id="rId789" display="https://sipac.sig.ufal.br/sipac/visualizaMaterial.do?popup=true&amp;id=23677&amp;acao=12"/>
    <hyperlink ref="AW223" r:id="rId790" display="https://www.acsreagentes.com.br/tartarato-de-sodio-e-potassio-4h2o-pa-acs-1kg-acs-cientifica?utm_source=Site&amp;utm_medium=GoogleMerchant&amp;utm_campaign=GoogleMerchant&amp;gclid=Cj0KCQjwk7ugBhDIARIsAGuvgPa-OqRrSLNPu1zsejNHALyl9KD8Ls1xLN93YWuTxeihRM1i8HbsQuUaAvrlEALw_wcB"/>
    <hyperlink ref="BC223" r:id="rId791" display="https://www.lojasynth.com/reagentes-analiticosmaterias-primas/reagentes-analiticosmaterias-primas/tartarato-de-sodio-e-potassio-4h2o-p-a?parceiro=2827&amp;variant_id=301574"/>
    <hyperlink ref="J224" r:id="rId792" display="https://sipac.sig.ufal.br/sipac/visualizaMaterial.do?popup=true&amp;id=23671&amp;acao=12"/>
    <hyperlink ref="AW224" r:id="rId793" display="https://www.acsreagentes.com.br/tetraborato-de-sodio-10h2o-pa-borax-500g-acs-cientifica?utm_source=Site&amp;utm_medium=GoogleMerchant&amp;utm_campaign=GoogleMerchant"/>
    <hyperlink ref="BC224" r:id="rId794" display="https://www.glasslab.com.br/reagentes-e-meios/tetraborato-de-sodio-10h2o-borax-pa-1kg?parceiro=6858&amp;srsltid=Ad5pg_FP_ZkkbbGh4_eEiC8m6lidZ17Yp5k3a-Ar_mNkOQBEJt1MktBpRiI"/>
    <hyperlink ref="BI224" r:id="rId795" display="https://www.labimport.com.br/reagentes/tetraborato-de-sodio/tetraborato-de-sodio-10h2o-pa-borax-1kg-12365"/>
    <hyperlink ref="J225" r:id="rId796" display="https://sipac.sig.ufal.br/sipac/visualizaMaterial.do?popup=true&amp;id=23679&amp;acao=12"/>
    <hyperlink ref="AW225" r:id="rId797" display="https://www.acsreagentes.com.br/tetracloreto-de-carbono-pa-1l-acs-cientifica?utm_source=Site&amp;utm_medium=GoogleMerchant&amp;utm_campaign=GoogleMerchant"/>
    <hyperlink ref="J226" r:id="rId798" display="https://sipac.sig.ufal.br/sipac/visualizaMaterial.do?popup=true&amp;id=24903&amp;acao=12"/>
    <hyperlink ref="AW226" r:id="rId799" display="https://www.acsreagentes.com.br/timol-puro-100g-acs-cientifica?utm_source=Site&amp;utm_medium=GoogleMerchant&amp;utm_campaign=GoogleMerchant"/>
    <hyperlink ref="BC226" r:id="rId800" display="https://www.lojanetlab.com.br/reagentes/pa/timol-puro"/>
    <hyperlink ref="BI226" r:id="rId801" display="https://www.didaticasp.com.br/timol-puro-100g"/>
    <hyperlink ref="J227" r:id="rId802" display="https://sipac.sig.ufal.br/sipac/visualizaMaterial.do?popup=true&amp;id=23680&amp;acao=12"/>
    <hyperlink ref="AW227" r:id="rId803" display="https://www.acsreagentes.com.br/tioacetamida-pa-acs-25g-acs-cientifica?utm_source=Site&amp;utm_medium=GoogleMerchant&amp;utm_campaign=GoogleMerchant"/>
    <hyperlink ref="BC227" r:id="rId804" display="https://www.glasslab.com.br/reagentes-e-meios/tioacetamida-pa-acs-25g?parceiro=6858&amp;srsltid=Ad5pg_EDT4jzPtiec3mT4qRGz-ZGas9jGkMtz7bqsfCzTezwoAxp-0iKtlU"/>
    <hyperlink ref="BI227" r:id="rId805" display="https://www.orionprodutoscientificos.com.br/tioacetamida-p-a-acs-50-g-fabricante-neon?utm_source=Site&amp;utm_medium=GoogleMerchant&amp;utm_campaign=GoogleMerchant"/>
    <hyperlink ref="J228" r:id="rId806" display="https://sipac.sig.ufal.br/sipac/visualizaMaterial.do?popup=true&amp;id=23521&amp;acao=12"/>
    <hyperlink ref="AW228" r:id="rId807" display="https://www.lojasynth.com/reagentes-analiticosmaterias-primas/reagentes-analiticosmaterias-primas/tiocianato-de-potassio-p-a?parceiro=2827&amp;variant_id=302587&amp;gclid=Cj0KCQjwk7ugBhDIARIsAGuvgPZxrqR3IfuydiQsT7ExesdXJQCdKg1d5dxhSxCHFNUdPpzC2OWbgRwaApBLEALw_wcB"/>
    <hyperlink ref="BC228" r:id="rId808" display="https://www.acsreagentes.com.br/tiocianato-de-potassio-pa-acs-500g-acs-cientifica?utm_source=Site&amp;utm_medium=GoogleMerchant&amp;utm_campaign=GoogleMerchant"/>
    <hyperlink ref="BI228" r:id="rId809" display="https://www.orionprodutoscientificos.com.br/tiocianato-de-potassio-p-a-500-g-fabricante-neon-N02399?utm_source=Site&amp;utm_medium=GoogleMerchant&amp;utm_campaign=GoogleMerchant"/>
    <hyperlink ref="J229" r:id="rId810" display="https://sipac.sig.ufal.br/sipac/visualizaMaterial.do?popup=true&amp;id=25910&amp;acao=12"/>
    <hyperlink ref="AW229" r:id="rId811" display="https://www.laderquimica.com.br/tiossulfato-de-sodio-5h2o-pa-acs-1kg-dinamica?utm_source=Site&amp;utm_medium=GoogleMerchant&amp;utm_campaign=GoogleMerchant&amp;srsltid=Ad5pg_HoclfPUhkJE9eL22kM0gcAV4wBYDN0oRAEPe2cdRu_W92VvE4IWFA"/>
    <hyperlink ref="BC229" r:id="rId812" display="https://www.orionprodutoscientificos.com.br/tiossulfato-de-sodio-5h2o-pa-1kg-exodo-cientifica?utm_source=Site&amp;utm_medium=GoogleMerchant&amp;utm_campaign=GoogleMerchant"/>
    <hyperlink ref="BI229" r:id="rId813" display="https://www.glasslab.com.br/reagentes-e-meios/tiossulfato-de-sodio-5h2o-pa-1kg?parceiro=6858&amp;srsltid=Ad5pg_HTXDsJ874S82IjlzbBX-7EajT3VLdmHmaVUXq-zMolwGtXljPpRIk"/>
    <hyperlink ref="J230" r:id="rId814" display="https://sipac.sig.ufal.br/sipac/visualizaMaterial.do?popup=true&amp;id=23503&amp;acao=12"/>
    <hyperlink ref="AW230" r:id="rId815" display="https://www.didaticasp.com.br/tolueno-toluol-pa-1l-pfssp"/>
    <hyperlink ref="BC230" r:id="rId816" display="https://www.glasslab.com.br/reagentes-e-meios/tolueno-toluol-pa-acs-1l"/>
    <hyperlink ref="J231" r:id="rId817" display="https://sipac.sig.ufal.br/sipac/visualizaMaterial.do?popup=true&amp;id=28218&amp;acao=12"/>
    <hyperlink ref="AU231" r:id="rId818" display="02.208.188/0001-93"/>
    <hyperlink ref="AW231" r:id="rId819" display="https://www.acsreagentes.com.br/trietilenoglicol-puro-1l-acs-cientifica?utm_source=Site&amp;utm_medium=GoogleMerchant&amp;utm_campaign=GoogleMerchant"/>
    <hyperlink ref="BC231" r:id="rId820" display="https://www.glasslab.com.br/reagentes-e-meios/etileno-glicol-pa-1l?parceiro=6858&amp;srsltid=Ad5pg_EfBHxX9y_z6vMAI7vy_X0o22fSEMKDlC1ZUBY5f_6iUXdcCMj8mHA"/>
    <hyperlink ref="BI231" r:id="rId821" display="https://www.lablac.com.br/etilenoglicol-pa-1l?utm_source=Site&amp;utm_medium=GoogleMerchant&amp;utm_campaign=GoogleMerchant&amp;srsltid=Ad5pg_FVml0BeBfAnR5ZzVtAJSFQt_vySkU2mWkyrxVIrMD_Afy0LB9iRLo"/>
    <hyperlink ref="J232" r:id="rId822" display="https://sipac.sig.ufal.br/sipac/visualizaMaterial.do?popup=true&amp;id=25735&amp;acao=12"/>
    <hyperlink ref="AW232" r:id="rId823" display="https://www.labimport.com.br/reagentes/trifenil/trifenil-tetrazolio-cloreto-2-3-5-ttc-pa-10g-12383"/>
    <hyperlink ref="BA232" r:id="rId824" display="02.208.188/0001-93"/>
    <hyperlink ref="BC232" r:id="rId825" display="https://www.acsreagentes.com.br/trifenil-tetrazolio-cloreto-235-ttc-pa-10g-acs-cientifica?utm_source=Site&amp;utm_medium=GoogleMerchant&amp;utm_campaign=GoogleMerchant"/>
    <hyperlink ref="BI232" r:id="rId826" display="https://www.orionprodutoscientificos.com.br/cloreto-de-235-trifenil-tetrazolio-10-g-fabricante-neon?utm_source=Site&amp;utm_medium=GoogleMerchant&amp;utm_campaign=GoogleMerchant"/>
    <hyperlink ref="J233" r:id="rId827" display="https://sipac.sig.ufal.br/sipac/visualizaMaterial.do?popup=true&amp;id=31092&amp;acao=12"/>
    <hyperlink ref="J234" r:id="rId828" display="https://sipac.sig.ufal.br/sipac/visualizaMaterial.do?popup=true&amp;id=23492&amp;acao=12"/>
    <hyperlink ref="AW234" r:id="rId829" display="https://www.didaticasp.com.br/produto/ureia-pa-500g-cas-57-13-6.html"/>
    <hyperlink ref="BC234" r:id="rId830" display="https://www.orionprodutoscientificos.com.br/ureia-p-a-1000-g-fabricante-neon?utm_source=Site&amp;utm_medium=GoogleMerchant&amp;utm_campaign=GoogleMerchant"/>
    <hyperlink ref="BI234" r:id="rId831" display="https://www.orionprodutoscientificos.com.br/ureia-p-a-1000-g-fabricante-neon?utm_source=Site&amp;utm_medium=GoogleMerchant&amp;utm_campaign=GoogleMerchan"/>
    <hyperlink ref="J235" r:id="rId832" display="https://sipac.sig.ufal.br/sipac/visualizaMaterial.do?popup=true&amp;id=8202&amp;acao=12"/>
    <hyperlink ref="AU235" r:id="rId833" display="02.208.188/0001-93"/>
    <hyperlink ref="AW235" r:id="rId834" display="https://www.acsreagentes.com.br/verde-bromocresol-pa-5g-acs-cientifica?utm_source=Site&amp;utm_medium=GoogleMerchant&amp;utm_campaign=GoogleMerchant&amp;gclid=Cj0KCQiAx6ugBhCcARIsAGNmMbioXTcga0gAlTSh1aM3EYNDedik0pHPrTHBzThS3zpaRcRryJXuRHIaAnqvEALw_wcB"/>
    <hyperlink ref="BC235" r:id="rId835" display="https://www.acsreagentes.com.br/verde-bromocresol-pa-5g-acs-cientifica?utm_source=Site&amp;utm_medium=GoogleMerchant&amp;utm_campaign=GoogleMerchant&amp;gclid=Cj0KCQiAx6ugBhCcARIsAGNmMbioXTcga0gAlTSh1aM3EYNDedik0pHPrTHBzThS3zpaRcRryJXuRHIaAnqvEALw_wcB"/>
    <hyperlink ref="BI235" r:id="rId836" display="https://www.lojasynth.com/reagentes-analiticosmaterias-primas/reagentes-analiticosmaterias-primas/verde-bromocresol-p-a-a-c-s?parceiro=2827&amp;variant_id=301632&amp;gclid=Cj0KCQiAx6ugBhCcARIsAGNmMbh8TOmZsG5TsYWG5oMoQiaFqh_6mjQDNiQKrCgXNGlT6IwsRHHxSgAaAvXpEALw_wcB"/>
    <hyperlink ref="J236" r:id="rId837" display="https://sipac.sig.ufal.br/sipac/visualizaMaterial.do?popup=true&amp;id=24837&amp;acao=12"/>
    <hyperlink ref="AW236" r:id="rId838" display="https://www.labimport.com.br/reagentes/reagentes-e-solventes/vermelho-de-metila-pa-ci-13020-25g-12415"/>
    <hyperlink ref="BC236" r:id="rId839" display="https://perfyltech.mercadoshops.com.br/MLB-2770800982-vermelho-de-metila-pa-acs-25g-_JM?gclid=Cj0KCQiAx6ugBhCcARIsAGNmMbjV0vmmEHgI-kHDVMcHIr-hcdYZ0hD9WzcyY48cGF1yKANfOe2IT1oaAnT5EALw_wcB"/>
    <hyperlink ref="BG236" r:id="rId840" display="02.208.188/0001-93"/>
    <hyperlink ref="BI236" r:id="rId841" display="https://www.acsreagentes.com.br/buscar?q=Vermelho+De+Metila+Pa+%28Ci.+13020%29+++25G+Acs+Cientifica"/>
    <hyperlink ref="J245" r:id="rId842" display="https://sipac.sig.ufal.br/sipac/visualizaMaterial.do?popup=true&amp;id=23269&amp;acao=12"/>
    <hyperlink ref="AW245" r:id="rId843" display="https://www.glasslab.com.br/reagentes-e-meios/xilol-xileno-pa-acs-1l?parceiro=6858&amp;gclid=Cj0KCQjwk7ugBhDIARIsAGuvgPZXjVsrhe8MG8UlHMZSUv7NjBSPBiXeFPMnCqTPqAjCxJ7M5ZI-oK4aAlLtEALw_wcB"/>
    <hyperlink ref="BC245" r:id="rId844" display="https://www.acsreagentes.com.br/xilol-pa-acs-1l-acs-cientifica?utm_source=Site&amp;utm_medium=GoogleMerchant&amp;utm_campaign=GoogleMerchant"/>
    <hyperlink ref="BI245" r:id="rId845" display="https://www.didaticasp.com.br/xileno-xilol-pa-1l"/>
    <hyperlink ref="J246" r:id="rId846" display="https://sipac.sig.ufal.br/sipac/visualizaMaterial.do?popup=true&amp;id=23266&amp;acao=12"/>
    <hyperlink ref="AW246" r:id="rId847" display="https://www.glasslab.com.br/reagentes-e-meios/zinco-granulado-20-mesh-pa-500g?parceiro=6858&amp;gclid=EAIaIQobChMIm6bf18rR_QIVoEVIAB1BlwzkEAQYBCABEgIMsPD_BwE"/>
    <hyperlink ref="BC246" r:id="rId848" display="https://www.didaticasp.com.br/produto/zinco-granulado-de-3-a-8mm-pa-1kg-cas-7440-66-6.html"/>
    <hyperlink ref="BI246" r:id="rId849" display="https://www.lojasynth.com/reagentes-analiticosmaterias-primas/reagentes-analiticosmaterias-primas/zinco-3-8mm-p-a-granalha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850"/>
  <legacyDrawing r:id="rId85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2" min="2" style="0" width="72.37"/>
    <col collapsed="false" customWidth="true" hidden="false" outlineLevel="0" max="3" min="3" style="0" width="41.26"/>
  </cols>
  <sheetData>
    <row r="1" customFormat="false" ht="15.75" hidden="false" customHeight="false" outlineLevel="0" collapsed="false">
      <c r="A1" s="169" t="s">
        <v>2</v>
      </c>
      <c r="B1" s="170" t="s">
        <v>1</v>
      </c>
      <c r="C1" s="170" t="s">
        <v>0</v>
      </c>
      <c r="D1" s="171" t="s">
        <v>1851</v>
      </c>
    </row>
    <row r="2" customFormat="false" ht="15.75" hidden="false" customHeight="false" outlineLevel="0" collapsed="false">
      <c r="A2" s="172" t="s">
        <v>677</v>
      </c>
      <c r="B2" s="173" t="s">
        <v>676</v>
      </c>
      <c r="C2" s="173" t="s">
        <v>22</v>
      </c>
      <c r="D2" s="174" t="n">
        <v>24000</v>
      </c>
    </row>
    <row r="3" customFormat="false" ht="15.75" hidden="false" customHeight="false" outlineLevel="0" collapsed="false">
      <c r="A3" s="172" t="s">
        <v>1662</v>
      </c>
      <c r="B3" s="173" t="s">
        <v>1661</v>
      </c>
      <c r="C3" s="173" t="s">
        <v>22</v>
      </c>
      <c r="D3" s="174" t="n">
        <v>13000</v>
      </c>
    </row>
    <row r="4" customFormat="false" ht="15.75" hidden="false" customHeight="false" outlineLevel="0" collapsed="false">
      <c r="A4" s="172" t="s">
        <v>514</v>
      </c>
      <c r="B4" s="173" t="s">
        <v>513</v>
      </c>
      <c r="C4" s="173" t="s">
        <v>22</v>
      </c>
      <c r="D4" s="174" t="n">
        <v>7000</v>
      </c>
    </row>
    <row r="5" customFormat="false" ht="15.75" hidden="false" customHeight="false" outlineLevel="0" collapsed="false">
      <c r="A5" s="172" t="s">
        <v>1258</v>
      </c>
      <c r="B5" s="173" t="s">
        <v>1257</v>
      </c>
      <c r="C5" s="173" t="s">
        <v>36</v>
      </c>
      <c r="D5" s="174" t="n">
        <v>7000</v>
      </c>
    </row>
    <row r="6" customFormat="false" ht="15.75" hidden="false" customHeight="false" outlineLevel="0" collapsed="false">
      <c r="A6" s="172" t="s">
        <v>1099</v>
      </c>
      <c r="B6" s="173" t="s">
        <v>1098</v>
      </c>
      <c r="C6" s="173" t="s">
        <v>21</v>
      </c>
      <c r="D6" s="174" t="n">
        <v>6000</v>
      </c>
    </row>
    <row r="7" customFormat="false" ht="15.75" hidden="false" customHeight="false" outlineLevel="0" collapsed="false">
      <c r="A7" s="172" t="s">
        <v>693</v>
      </c>
      <c r="B7" s="173" t="s">
        <v>692</v>
      </c>
      <c r="C7" s="173" t="s">
        <v>22</v>
      </c>
      <c r="D7" s="174" t="n">
        <v>6000</v>
      </c>
    </row>
    <row r="8" customFormat="false" ht="15.75" hidden="false" customHeight="false" outlineLevel="0" collapsed="false">
      <c r="A8" s="172" t="s">
        <v>190</v>
      </c>
      <c r="B8" s="173" t="s">
        <v>189</v>
      </c>
      <c r="C8" s="173" t="s">
        <v>22</v>
      </c>
      <c r="D8" s="174" t="n">
        <v>5000</v>
      </c>
    </row>
    <row r="9" customFormat="false" ht="15.75" hidden="false" customHeight="false" outlineLevel="0" collapsed="false">
      <c r="A9" s="172" t="s">
        <v>1600</v>
      </c>
      <c r="B9" s="173" t="s">
        <v>1599</v>
      </c>
      <c r="C9" s="173" t="s">
        <v>22</v>
      </c>
      <c r="D9" s="174" t="n">
        <v>5000</v>
      </c>
    </row>
    <row r="10" customFormat="false" ht="15.75" hidden="false" customHeight="false" outlineLevel="0" collapsed="false">
      <c r="A10" s="172" t="s">
        <v>1142</v>
      </c>
      <c r="B10" s="173" t="s">
        <v>1141</v>
      </c>
      <c r="C10" s="173" t="s">
        <v>22</v>
      </c>
      <c r="D10" s="174" t="n">
        <v>5000</v>
      </c>
    </row>
    <row r="11" customFormat="false" ht="15.75" hidden="false" customHeight="false" outlineLevel="0" collapsed="false">
      <c r="A11" s="172" t="s">
        <v>1614</v>
      </c>
      <c r="B11" s="173" t="s">
        <v>1613</v>
      </c>
      <c r="C11" s="173" t="s">
        <v>22</v>
      </c>
      <c r="D11" s="174" t="n">
        <v>3500</v>
      </c>
    </row>
    <row r="12" customFormat="false" ht="15.75" hidden="false" customHeight="false" outlineLevel="0" collapsed="false">
      <c r="A12" s="172" t="s">
        <v>1690</v>
      </c>
      <c r="B12" s="173" t="s">
        <v>1689</v>
      </c>
      <c r="C12" s="173" t="s">
        <v>22</v>
      </c>
      <c r="D12" s="174" t="n">
        <v>3000</v>
      </c>
    </row>
    <row r="13" customFormat="false" ht="15.75" hidden="false" customHeight="false" outlineLevel="0" collapsed="false">
      <c r="A13" s="172" t="n">
        <v>352777</v>
      </c>
      <c r="B13" s="173" t="s">
        <v>812</v>
      </c>
      <c r="C13" s="173" t="s">
        <v>18</v>
      </c>
      <c r="D13" s="174" t="n">
        <v>3000</v>
      </c>
    </row>
    <row r="14" customFormat="false" ht="15.75" hidden="false" customHeight="false" outlineLevel="0" collapsed="false">
      <c r="A14" s="172" t="n">
        <v>366490</v>
      </c>
      <c r="B14" s="173" t="s">
        <v>1762</v>
      </c>
      <c r="C14" s="173" t="s">
        <v>25</v>
      </c>
      <c r="D14" s="174" t="n">
        <v>2000</v>
      </c>
    </row>
    <row r="15" customFormat="false" ht="15.75" hidden="false" customHeight="false" outlineLevel="0" collapsed="false">
      <c r="A15" s="172" t="s">
        <v>1588</v>
      </c>
      <c r="B15" s="173" t="s">
        <v>1587</v>
      </c>
      <c r="C15" s="173" t="s">
        <v>22</v>
      </c>
      <c r="D15" s="174" t="n">
        <v>2000</v>
      </c>
    </row>
    <row r="16" customFormat="false" ht="15.75" hidden="false" customHeight="false" outlineLevel="0" collapsed="false">
      <c r="A16" s="172" t="s">
        <v>788</v>
      </c>
      <c r="B16" s="173" t="s">
        <v>787</v>
      </c>
      <c r="C16" s="173" t="s">
        <v>22</v>
      </c>
      <c r="D16" s="174" t="n">
        <v>2000</v>
      </c>
    </row>
    <row r="17" customFormat="false" ht="15.75" hidden="false" customHeight="false" outlineLevel="0" collapsed="false">
      <c r="A17" s="172" t="s">
        <v>1004</v>
      </c>
      <c r="B17" s="173" t="s">
        <v>1003</v>
      </c>
      <c r="C17" s="173" t="s">
        <v>27</v>
      </c>
      <c r="D17" s="174" t="n">
        <v>2000</v>
      </c>
    </row>
    <row r="18" customFormat="false" ht="15.75" hidden="false" customHeight="false" outlineLevel="0" collapsed="false">
      <c r="A18" s="172" t="s">
        <v>1317</v>
      </c>
      <c r="B18" s="173" t="s">
        <v>1316</v>
      </c>
      <c r="C18" s="173" t="s">
        <v>25</v>
      </c>
      <c r="D18" s="174" t="n">
        <v>2000</v>
      </c>
    </row>
    <row r="19" customFormat="false" ht="15.75" hidden="false" customHeight="false" outlineLevel="0" collapsed="false">
      <c r="A19" s="172" t="s">
        <v>1722</v>
      </c>
      <c r="B19" s="173" t="s">
        <v>1721</v>
      </c>
      <c r="C19" s="173" t="s">
        <v>34</v>
      </c>
      <c r="D19" s="174" t="n">
        <v>2000</v>
      </c>
    </row>
    <row r="20" customFormat="false" ht="15.75" hidden="false" customHeight="false" outlineLevel="0" collapsed="false">
      <c r="A20" s="172" t="s">
        <v>100</v>
      </c>
      <c r="B20" s="173" t="s">
        <v>99</v>
      </c>
      <c r="C20" s="173" t="s">
        <v>19</v>
      </c>
      <c r="D20" s="174" t="n">
        <v>2000</v>
      </c>
    </row>
    <row r="21" customFormat="false" ht="15.75" hidden="false" customHeight="false" outlineLevel="0" collapsed="false">
      <c r="A21" s="172" t="s">
        <v>581</v>
      </c>
      <c r="B21" s="173" t="s">
        <v>580</v>
      </c>
      <c r="C21" s="173" t="s">
        <v>22</v>
      </c>
      <c r="D21" s="174" t="n">
        <v>1504</v>
      </c>
    </row>
    <row r="22" customFormat="false" ht="15.75" hidden="false" customHeight="false" outlineLevel="0" collapsed="false">
      <c r="A22" s="172" t="s">
        <v>709</v>
      </c>
      <c r="B22" s="173" t="s">
        <v>708</v>
      </c>
      <c r="C22" s="173" t="s">
        <v>22</v>
      </c>
      <c r="D22" s="174" t="n">
        <v>1500</v>
      </c>
    </row>
    <row r="23" customFormat="false" ht="15.75" hidden="false" customHeight="false" outlineLevel="0" collapsed="false">
      <c r="A23" s="172" t="s">
        <v>925</v>
      </c>
      <c r="B23" s="173" t="s">
        <v>924</v>
      </c>
      <c r="C23" s="173" t="s">
        <v>22</v>
      </c>
      <c r="D23" s="174" t="n">
        <v>1500</v>
      </c>
    </row>
    <row r="24" customFormat="false" ht="15.75" hidden="false" customHeight="false" outlineLevel="0" collapsed="false">
      <c r="A24" s="172" t="s">
        <v>1044</v>
      </c>
      <c r="B24" s="173" t="s">
        <v>1043</v>
      </c>
      <c r="C24" s="173" t="s">
        <v>22</v>
      </c>
      <c r="D24" s="174" t="n">
        <v>1500</v>
      </c>
    </row>
    <row r="25" customFormat="false" ht="15.75" hidden="false" customHeight="false" outlineLevel="0" collapsed="false">
      <c r="A25" s="172" t="s">
        <v>725</v>
      </c>
      <c r="B25" s="173" t="s">
        <v>724</v>
      </c>
      <c r="C25" s="173" t="s">
        <v>22</v>
      </c>
      <c r="D25" s="174" t="n">
        <v>1000</v>
      </c>
    </row>
    <row r="26" customFormat="false" ht="15.75" hidden="false" customHeight="false" outlineLevel="0" collapsed="false">
      <c r="A26" s="172" t="s">
        <v>1272</v>
      </c>
      <c r="B26" s="173" t="s">
        <v>1271</v>
      </c>
      <c r="C26" s="173" t="s">
        <v>34</v>
      </c>
      <c r="D26" s="174" t="n">
        <v>1000</v>
      </c>
    </row>
    <row r="27" customFormat="false" ht="15.75" hidden="false" customHeight="false" outlineLevel="0" collapsed="false">
      <c r="A27" s="172" t="s">
        <v>1134</v>
      </c>
      <c r="B27" s="173" t="s">
        <v>1133</v>
      </c>
      <c r="C27" s="173" t="s">
        <v>26</v>
      </c>
      <c r="D27" s="174" t="n">
        <v>1000</v>
      </c>
    </row>
    <row r="28" customFormat="false" ht="15.75" hidden="false" customHeight="false" outlineLevel="0" collapsed="false">
      <c r="A28" s="172" t="s">
        <v>1181</v>
      </c>
      <c r="B28" s="173" t="s">
        <v>1180</v>
      </c>
      <c r="C28" s="173" t="s">
        <v>22</v>
      </c>
      <c r="D28" s="174" t="n">
        <v>1000</v>
      </c>
    </row>
    <row r="29" customFormat="false" ht="15.75" hidden="false" customHeight="false" outlineLevel="0" collapsed="false">
      <c r="A29" s="172" t="s">
        <v>1747</v>
      </c>
      <c r="B29" s="173" t="s">
        <v>1746</v>
      </c>
      <c r="C29" s="173" t="s">
        <v>26</v>
      </c>
      <c r="D29" s="174" t="n">
        <v>1000</v>
      </c>
    </row>
    <row r="30" customFormat="false" ht="15.75" hidden="false" customHeight="false" outlineLevel="0" collapsed="false">
      <c r="A30" s="172" t="s">
        <v>1669</v>
      </c>
      <c r="B30" s="173" t="s">
        <v>1668</v>
      </c>
      <c r="C30" s="173" t="s">
        <v>22</v>
      </c>
      <c r="D30" s="174" t="n">
        <v>1000</v>
      </c>
    </row>
    <row r="31" customFormat="false" ht="15.75" hidden="false" customHeight="false" outlineLevel="0" collapsed="false">
      <c r="A31" s="172" t="s">
        <v>64</v>
      </c>
      <c r="B31" s="173" t="s">
        <v>63</v>
      </c>
      <c r="C31" s="173" t="s">
        <v>25</v>
      </c>
      <c r="D31" s="174" t="n">
        <v>1000</v>
      </c>
    </row>
    <row r="32" customFormat="false" ht="15.75" hidden="false" customHeight="false" outlineLevel="0" collapsed="false">
      <c r="A32" s="172" t="s">
        <v>1651</v>
      </c>
      <c r="B32" s="173" t="s">
        <v>1650</v>
      </c>
      <c r="C32" s="173" t="s">
        <v>40</v>
      </c>
      <c r="D32" s="174" t="n">
        <v>1000</v>
      </c>
    </row>
    <row r="33" customFormat="false" ht="15.75" hidden="false" customHeight="false" outlineLevel="0" collapsed="false">
      <c r="A33" s="172" t="s">
        <v>990</v>
      </c>
      <c r="B33" s="173" t="s">
        <v>989</v>
      </c>
      <c r="C33" s="173" t="s">
        <v>34</v>
      </c>
      <c r="D33" s="174" t="n">
        <v>1000</v>
      </c>
    </row>
    <row r="34" customFormat="false" ht="15.75" hidden="false" customHeight="false" outlineLevel="0" collapsed="false">
      <c r="A34" s="172" t="s">
        <v>122</v>
      </c>
      <c r="B34" s="173" t="s">
        <v>121</v>
      </c>
      <c r="C34" s="173" t="s">
        <v>22</v>
      </c>
      <c r="D34" s="174" t="n">
        <v>1000</v>
      </c>
    </row>
    <row r="35" customFormat="false" ht="15.75" hidden="false" customHeight="false" outlineLevel="0" collapsed="false">
      <c r="A35" s="172" t="s">
        <v>1386</v>
      </c>
      <c r="B35" s="173" t="s">
        <v>1385</v>
      </c>
      <c r="C35" s="173" t="s">
        <v>34</v>
      </c>
      <c r="D35" s="174" t="n">
        <v>1000</v>
      </c>
    </row>
    <row r="36" customFormat="false" ht="15.75" hidden="false" customHeight="false" outlineLevel="0" collapsed="false">
      <c r="A36" s="172" t="s">
        <v>1715</v>
      </c>
      <c r="B36" s="173" t="s">
        <v>1714</v>
      </c>
      <c r="C36" s="173" t="s">
        <v>27</v>
      </c>
      <c r="D36" s="174" t="n">
        <v>1000</v>
      </c>
    </row>
    <row r="37" customFormat="false" ht="15.75" hidden="false" customHeight="false" outlineLevel="0" collapsed="false">
      <c r="A37" s="172" t="s">
        <v>1755</v>
      </c>
      <c r="B37" s="173" t="s">
        <v>1754</v>
      </c>
      <c r="C37" s="173" t="s">
        <v>26</v>
      </c>
      <c r="D37" s="174" t="n">
        <v>1000</v>
      </c>
    </row>
    <row r="38" customFormat="false" ht="15.75" hidden="false" customHeight="false" outlineLevel="0" collapsed="false">
      <c r="A38" s="172" t="s">
        <v>1638</v>
      </c>
      <c r="B38" s="173" t="s">
        <v>1637</v>
      </c>
      <c r="C38" s="173" t="s">
        <v>18</v>
      </c>
      <c r="D38" s="174" t="n">
        <v>1000</v>
      </c>
    </row>
    <row r="39" customFormat="false" ht="15.75" hidden="false" customHeight="false" outlineLevel="0" collapsed="false">
      <c r="A39" s="172" t="s">
        <v>1537</v>
      </c>
      <c r="B39" s="173" t="s">
        <v>1536</v>
      </c>
      <c r="C39" s="173" t="s">
        <v>26</v>
      </c>
      <c r="D39" s="174" t="n">
        <v>1000</v>
      </c>
    </row>
    <row r="40" customFormat="false" ht="15.75" hidden="false" customHeight="false" outlineLevel="0" collapsed="false">
      <c r="A40" s="172" t="s">
        <v>688</v>
      </c>
      <c r="B40" s="173" t="s">
        <v>687</v>
      </c>
      <c r="C40" s="173" t="s">
        <v>34</v>
      </c>
      <c r="D40" s="174" t="n">
        <v>1000</v>
      </c>
    </row>
    <row r="41" customFormat="false" ht="15.75" hidden="false" customHeight="false" outlineLevel="0" collapsed="false">
      <c r="A41" s="172" t="s">
        <v>1283</v>
      </c>
      <c r="B41" s="173" t="s">
        <v>1282</v>
      </c>
      <c r="C41" s="173" t="s">
        <v>34</v>
      </c>
      <c r="D41" s="174" t="n">
        <v>1000</v>
      </c>
    </row>
    <row r="42" customFormat="false" ht="15.75" hidden="false" customHeight="false" outlineLevel="0" collapsed="false">
      <c r="A42" s="172" t="s">
        <v>1037</v>
      </c>
      <c r="B42" s="173" t="s">
        <v>1036</v>
      </c>
      <c r="C42" s="173" t="s">
        <v>34</v>
      </c>
      <c r="D42" s="174" t="n">
        <v>1000</v>
      </c>
    </row>
    <row r="43" customFormat="false" ht="15.75" hidden="false" customHeight="false" outlineLevel="0" collapsed="false">
      <c r="A43" s="172" t="n">
        <v>382201</v>
      </c>
      <c r="B43" s="173" t="s">
        <v>598</v>
      </c>
      <c r="C43" s="173" t="s">
        <v>41</v>
      </c>
      <c r="D43" s="174" t="n">
        <v>800</v>
      </c>
    </row>
    <row r="44" customFormat="false" ht="15.75" hidden="false" customHeight="false" outlineLevel="0" collapsed="false">
      <c r="A44" s="172" t="s">
        <v>1188</v>
      </c>
      <c r="B44" s="173" t="s">
        <v>1187</v>
      </c>
      <c r="C44" s="173" t="s">
        <v>22</v>
      </c>
      <c r="D44" s="174" t="n">
        <v>600</v>
      </c>
    </row>
    <row r="45" customFormat="false" ht="15.75" hidden="false" customHeight="false" outlineLevel="0" collapsed="false">
      <c r="A45" s="172" t="s">
        <v>574</v>
      </c>
      <c r="B45" s="173" t="s">
        <v>573</v>
      </c>
      <c r="C45" s="173" t="s">
        <v>22</v>
      </c>
      <c r="D45" s="174" t="n">
        <v>552</v>
      </c>
    </row>
    <row r="46" customFormat="false" ht="15.75" hidden="false" customHeight="false" outlineLevel="0" collapsed="false">
      <c r="A46" s="172" t="s">
        <v>776</v>
      </c>
      <c r="B46" s="173" t="s">
        <v>775</v>
      </c>
      <c r="C46" s="173" t="s">
        <v>22</v>
      </c>
      <c r="D46" s="174" t="n">
        <v>504</v>
      </c>
    </row>
    <row r="47" customFormat="false" ht="15.75" hidden="false" customHeight="false" outlineLevel="0" collapsed="false">
      <c r="A47" s="172" t="s">
        <v>1067</v>
      </c>
      <c r="B47" s="173" t="s">
        <v>1066</v>
      </c>
      <c r="C47" s="173" t="s">
        <v>22</v>
      </c>
      <c r="D47" s="174" t="n">
        <v>504</v>
      </c>
    </row>
    <row r="48" customFormat="false" ht="15.75" hidden="false" customHeight="false" outlineLevel="0" collapsed="false">
      <c r="A48" s="172" t="s">
        <v>1623</v>
      </c>
      <c r="B48" s="173" t="s">
        <v>1622</v>
      </c>
      <c r="C48" s="173" t="s">
        <v>22</v>
      </c>
      <c r="D48" s="174" t="n">
        <v>502</v>
      </c>
    </row>
    <row r="49" customFormat="false" ht="15.75" hidden="false" customHeight="false" outlineLevel="0" collapsed="false">
      <c r="A49" s="172" t="s">
        <v>1438</v>
      </c>
      <c r="B49" s="173" t="s">
        <v>1437</v>
      </c>
      <c r="C49" s="173" t="s">
        <v>26</v>
      </c>
      <c r="D49" s="174" t="n">
        <v>500</v>
      </c>
    </row>
    <row r="50" customFormat="false" ht="15.75" hidden="false" customHeight="false" outlineLevel="0" collapsed="false">
      <c r="A50" s="172" t="s">
        <v>1710</v>
      </c>
      <c r="B50" s="173" t="s">
        <v>1709</v>
      </c>
      <c r="C50" s="173" t="s">
        <v>34</v>
      </c>
      <c r="D50" s="174" t="n">
        <v>500</v>
      </c>
    </row>
    <row r="51" customFormat="false" ht="15.75" hidden="false" customHeight="false" outlineLevel="0" collapsed="false">
      <c r="A51" s="172" t="n">
        <v>346778</v>
      </c>
      <c r="B51" s="173" t="s">
        <v>1697</v>
      </c>
      <c r="C51" s="173" t="s">
        <v>25</v>
      </c>
      <c r="D51" s="174" t="n">
        <v>500</v>
      </c>
    </row>
    <row r="52" customFormat="false" ht="15.75" hidden="false" customHeight="false" outlineLevel="0" collapsed="false">
      <c r="A52" s="172" t="n">
        <v>347156</v>
      </c>
      <c r="B52" s="173" t="s">
        <v>248</v>
      </c>
      <c r="C52" s="173" t="s">
        <v>22</v>
      </c>
      <c r="D52" s="174" t="n">
        <v>500</v>
      </c>
    </row>
    <row r="53" customFormat="false" ht="15.75" hidden="false" customHeight="false" outlineLevel="0" collapsed="false">
      <c r="A53" s="172" t="s">
        <v>221</v>
      </c>
      <c r="B53" s="173" t="s">
        <v>220</v>
      </c>
      <c r="C53" s="173" t="s">
        <v>22</v>
      </c>
      <c r="D53" s="174" t="n">
        <v>500</v>
      </c>
    </row>
    <row r="54" customFormat="false" ht="15.75" hidden="false" customHeight="false" outlineLevel="0" collapsed="false">
      <c r="A54" s="172" t="n">
        <v>351610</v>
      </c>
      <c r="B54" s="173" t="s">
        <v>204</v>
      </c>
      <c r="C54" s="173" t="s">
        <v>22</v>
      </c>
      <c r="D54" s="174" t="n">
        <v>500</v>
      </c>
    </row>
    <row r="55" customFormat="false" ht="15.75" hidden="false" customHeight="false" outlineLevel="0" collapsed="false">
      <c r="A55" s="172" t="s">
        <v>1366</v>
      </c>
      <c r="B55" s="173" t="s">
        <v>1365</v>
      </c>
      <c r="C55" s="173" t="s">
        <v>22</v>
      </c>
      <c r="D55" s="174" t="n">
        <v>500</v>
      </c>
    </row>
    <row r="56" customFormat="false" ht="15.75" hidden="false" customHeight="false" outlineLevel="0" collapsed="false">
      <c r="A56" s="172" t="s">
        <v>1052</v>
      </c>
      <c r="B56" s="173" t="s">
        <v>1051</v>
      </c>
      <c r="C56" s="173" t="s">
        <v>22</v>
      </c>
      <c r="D56" s="174" t="n">
        <v>500</v>
      </c>
    </row>
    <row r="57" customFormat="false" ht="15.75" hidden="false" customHeight="false" outlineLevel="0" collapsed="false">
      <c r="A57" s="172" t="n">
        <v>366478</v>
      </c>
      <c r="B57" s="173" t="s">
        <v>1728</v>
      </c>
      <c r="C57" s="173" t="s">
        <v>18</v>
      </c>
      <c r="D57" s="174" t="n">
        <v>500</v>
      </c>
    </row>
    <row r="58" customFormat="false" ht="15.75" hidden="false" customHeight="false" outlineLevel="0" collapsed="false">
      <c r="A58" s="172" t="s">
        <v>915</v>
      </c>
      <c r="B58" s="173" t="s">
        <v>914</v>
      </c>
      <c r="C58" s="173" t="s">
        <v>40</v>
      </c>
      <c r="D58" s="174" t="n">
        <v>500</v>
      </c>
    </row>
    <row r="59" customFormat="false" ht="15.75" hidden="false" customHeight="false" outlineLevel="0" collapsed="false">
      <c r="A59" s="172" t="s">
        <v>656</v>
      </c>
      <c r="B59" s="173" t="s">
        <v>655</v>
      </c>
      <c r="C59" s="173" t="s">
        <v>18</v>
      </c>
      <c r="D59" s="174" t="n">
        <v>500</v>
      </c>
    </row>
    <row r="60" customFormat="false" ht="15.75" hidden="false" customHeight="false" outlineLevel="0" collapsed="false">
      <c r="A60" s="172" t="s">
        <v>281</v>
      </c>
      <c r="B60" s="173" t="s">
        <v>280</v>
      </c>
      <c r="C60" s="173" t="s">
        <v>40</v>
      </c>
      <c r="D60" s="174" t="n">
        <v>500</v>
      </c>
    </row>
    <row r="61" customFormat="false" ht="15.75" hidden="false" customHeight="false" outlineLevel="0" collapsed="false">
      <c r="A61" s="172" t="n">
        <v>412804</v>
      </c>
      <c r="B61" s="173" t="s">
        <v>1372</v>
      </c>
      <c r="C61" s="173" t="s">
        <v>34</v>
      </c>
      <c r="D61" s="174" t="n">
        <v>500</v>
      </c>
    </row>
    <row r="62" customFormat="false" ht="15.75" hidden="false" customHeight="false" outlineLevel="0" collapsed="false">
      <c r="A62" s="172" t="s">
        <v>1090</v>
      </c>
      <c r="B62" s="173" t="s">
        <v>1089</v>
      </c>
      <c r="C62" s="173" t="s">
        <v>34</v>
      </c>
      <c r="D62" s="174" t="n">
        <v>500</v>
      </c>
    </row>
    <row r="63" customFormat="false" ht="15.75" hidden="false" customHeight="false" outlineLevel="0" collapsed="false">
      <c r="A63" s="172" t="s">
        <v>781</v>
      </c>
      <c r="B63" s="173" t="s">
        <v>780</v>
      </c>
      <c r="C63" s="173" t="s">
        <v>25</v>
      </c>
      <c r="D63" s="174" t="n">
        <v>500</v>
      </c>
    </row>
    <row r="64" customFormat="false" ht="15.75" hidden="false" customHeight="false" outlineLevel="0" collapsed="false">
      <c r="A64" s="172" t="n">
        <v>454847</v>
      </c>
      <c r="B64" s="173" t="s">
        <v>806</v>
      </c>
      <c r="C64" s="173" t="s">
        <v>25</v>
      </c>
      <c r="D64" s="174" t="n">
        <v>500</v>
      </c>
    </row>
    <row r="65" customFormat="false" ht="15.75" hidden="false" customHeight="false" outlineLevel="0" collapsed="false">
      <c r="A65" s="172" t="s">
        <v>1405</v>
      </c>
      <c r="B65" s="173" t="s">
        <v>1404</v>
      </c>
      <c r="C65" s="173" t="s">
        <v>34</v>
      </c>
      <c r="D65" s="174" t="n">
        <v>500</v>
      </c>
    </row>
    <row r="66" customFormat="false" ht="15.75" hidden="false" customHeight="false" outlineLevel="0" collapsed="false">
      <c r="A66" s="172" t="s">
        <v>1460</v>
      </c>
      <c r="B66" s="173" t="s">
        <v>1459</v>
      </c>
      <c r="C66" s="173" t="s">
        <v>22</v>
      </c>
      <c r="D66" s="174" t="n">
        <v>500</v>
      </c>
    </row>
    <row r="67" customFormat="false" ht="15.75" hidden="false" customHeight="false" outlineLevel="0" collapsed="false">
      <c r="A67" s="172" t="s">
        <v>1060</v>
      </c>
      <c r="B67" s="173" t="s">
        <v>1059</v>
      </c>
      <c r="C67" s="173" t="s">
        <v>22</v>
      </c>
      <c r="D67" s="174" t="n">
        <v>500</v>
      </c>
    </row>
    <row r="68" customFormat="false" ht="15.75" hidden="false" customHeight="false" outlineLevel="0" collapsed="false">
      <c r="A68" s="172" t="s">
        <v>716</v>
      </c>
      <c r="B68" s="173" t="s">
        <v>715</v>
      </c>
      <c r="C68" s="173" t="s">
        <v>34</v>
      </c>
      <c r="D68" s="174" t="n">
        <v>500</v>
      </c>
    </row>
    <row r="69" customFormat="false" ht="15.75" hidden="false" customHeight="false" outlineLevel="0" collapsed="false">
      <c r="A69" s="172" t="s">
        <v>1324</v>
      </c>
      <c r="B69" s="173" t="s">
        <v>1323</v>
      </c>
      <c r="C69" s="173" t="s">
        <v>26</v>
      </c>
      <c r="D69" s="174" t="n">
        <v>500</v>
      </c>
    </row>
    <row r="70" customFormat="false" ht="15.75" hidden="false" customHeight="false" outlineLevel="0" collapsed="false">
      <c r="A70" s="172" t="s">
        <v>663</v>
      </c>
      <c r="B70" s="173" t="s">
        <v>662</v>
      </c>
      <c r="C70" s="173" t="s">
        <v>34</v>
      </c>
      <c r="D70" s="174" t="n">
        <v>500</v>
      </c>
    </row>
    <row r="71" customFormat="false" ht="15.75" hidden="false" customHeight="false" outlineLevel="0" collapsed="false">
      <c r="A71" s="172" t="s">
        <v>1595</v>
      </c>
      <c r="B71" s="173" t="s">
        <v>1594</v>
      </c>
      <c r="C71" s="173" t="s">
        <v>34</v>
      </c>
      <c r="D71" s="174" t="n">
        <v>500</v>
      </c>
    </row>
    <row r="72" customFormat="false" ht="15.75" hidden="false" customHeight="false" outlineLevel="0" collapsed="false">
      <c r="A72" s="172" t="s">
        <v>682</v>
      </c>
      <c r="B72" s="173" t="s">
        <v>681</v>
      </c>
      <c r="C72" s="173" t="s">
        <v>34</v>
      </c>
      <c r="D72" s="174" t="n">
        <v>500</v>
      </c>
    </row>
    <row r="73" customFormat="false" ht="15.75" hidden="false" customHeight="false" outlineLevel="0" collapsed="false">
      <c r="A73" s="172" t="s">
        <v>1644</v>
      </c>
      <c r="B73" s="173" t="s">
        <v>1643</v>
      </c>
      <c r="C73" s="173" t="s">
        <v>34</v>
      </c>
      <c r="D73" s="174" t="n">
        <v>500</v>
      </c>
    </row>
    <row r="74" customFormat="false" ht="15.75" hidden="false" customHeight="false" outlineLevel="0" collapsed="false">
      <c r="A74" s="172" t="s">
        <v>1630</v>
      </c>
      <c r="B74" s="173" t="s">
        <v>1629</v>
      </c>
      <c r="C74" s="173" t="s">
        <v>34</v>
      </c>
      <c r="D74" s="174" t="n">
        <v>500</v>
      </c>
    </row>
    <row r="75" customFormat="false" ht="15.75" hidden="false" customHeight="false" outlineLevel="0" collapsed="false">
      <c r="A75" s="172" t="s">
        <v>1794</v>
      </c>
      <c r="B75" s="173" t="s">
        <v>1793</v>
      </c>
      <c r="C75" s="173" t="s">
        <v>40</v>
      </c>
      <c r="D75" s="174" t="n">
        <v>500</v>
      </c>
    </row>
    <row r="76" customFormat="false" ht="15.75" hidden="false" customHeight="false" outlineLevel="0" collapsed="false">
      <c r="A76" s="172" t="s">
        <v>1607</v>
      </c>
      <c r="B76" s="173" t="s">
        <v>1606</v>
      </c>
      <c r="C76" s="173" t="s">
        <v>26</v>
      </c>
      <c r="D76" s="174" t="n">
        <v>500</v>
      </c>
    </row>
    <row r="77" customFormat="false" ht="15.75" hidden="false" customHeight="false" outlineLevel="0" collapsed="false">
      <c r="A77" s="172" t="s">
        <v>1379</v>
      </c>
      <c r="B77" s="173" t="s">
        <v>1378</v>
      </c>
      <c r="C77" s="173" t="s">
        <v>26</v>
      </c>
      <c r="D77" s="174" t="n">
        <v>500</v>
      </c>
    </row>
    <row r="78" customFormat="false" ht="15.75" hidden="false" customHeight="false" outlineLevel="0" collapsed="false">
      <c r="A78" s="172" t="s">
        <v>932</v>
      </c>
      <c r="B78" s="173" t="s">
        <v>931</v>
      </c>
      <c r="C78" s="173" t="s">
        <v>22</v>
      </c>
      <c r="D78" s="174" t="n">
        <v>500</v>
      </c>
    </row>
    <row r="79" customFormat="false" ht="15.75" hidden="false" customHeight="false" outlineLevel="0" collapsed="false">
      <c r="A79" s="172" t="s">
        <v>1203</v>
      </c>
      <c r="B79" s="173" t="s">
        <v>1202</v>
      </c>
      <c r="C79" s="173" t="s">
        <v>22</v>
      </c>
      <c r="D79" s="174" t="n">
        <v>500</v>
      </c>
    </row>
    <row r="80" customFormat="false" ht="15.75" hidden="false" customHeight="false" outlineLevel="0" collapsed="false">
      <c r="A80" s="172" t="s">
        <v>1030</v>
      </c>
      <c r="B80" s="173" t="s">
        <v>1029</v>
      </c>
      <c r="C80" s="173" t="s">
        <v>22</v>
      </c>
      <c r="D80" s="174" t="n">
        <v>500</v>
      </c>
    </row>
    <row r="81" customFormat="false" ht="15.75" hidden="false" customHeight="false" outlineLevel="0" collapsed="false">
      <c r="A81" s="172" t="s">
        <v>733</v>
      </c>
      <c r="B81" s="173" t="s">
        <v>732</v>
      </c>
      <c r="C81" s="173" t="s">
        <v>18</v>
      </c>
      <c r="D81" s="174" t="n">
        <v>500</v>
      </c>
    </row>
    <row r="82" customFormat="false" ht="15.75" hidden="false" customHeight="false" outlineLevel="0" collapsed="false">
      <c r="A82" s="172" t="s">
        <v>168</v>
      </c>
      <c r="B82" s="173" t="s">
        <v>167</v>
      </c>
      <c r="C82" s="173" t="s">
        <v>22</v>
      </c>
      <c r="D82" s="174" t="n">
        <v>500</v>
      </c>
    </row>
    <row r="83" customFormat="false" ht="15.75" hidden="false" customHeight="false" outlineLevel="0" collapsed="false">
      <c r="A83" s="172" t="s">
        <v>1120</v>
      </c>
      <c r="B83" s="173" t="s">
        <v>1119</v>
      </c>
      <c r="C83" s="173" t="s">
        <v>34</v>
      </c>
      <c r="D83" s="174" t="n">
        <v>500</v>
      </c>
    </row>
    <row r="84" customFormat="false" ht="15.75" hidden="false" customHeight="false" outlineLevel="0" collapsed="false">
      <c r="A84" s="172" t="s">
        <v>1304</v>
      </c>
      <c r="B84" s="173" t="s">
        <v>1303</v>
      </c>
      <c r="C84" s="173" t="s">
        <v>26</v>
      </c>
      <c r="D84" s="174" t="n">
        <v>500</v>
      </c>
    </row>
    <row r="85" customFormat="false" ht="15.75" hidden="false" customHeight="false" outlineLevel="0" collapsed="false">
      <c r="A85" s="172" t="s">
        <v>1279</v>
      </c>
      <c r="B85" s="173" t="s">
        <v>1278</v>
      </c>
      <c r="C85" s="173" t="s">
        <v>34</v>
      </c>
      <c r="D85" s="174" t="n">
        <v>500</v>
      </c>
    </row>
    <row r="86" customFormat="false" ht="15.75" hidden="false" customHeight="false" outlineLevel="0" collapsed="false">
      <c r="A86" s="172" t="s">
        <v>976</v>
      </c>
      <c r="B86" s="173" t="s">
        <v>975</v>
      </c>
      <c r="C86" s="173" t="s">
        <v>18</v>
      </c>
      <c r="D86" s="174" t="n">
        <v>500</v>
      </c>
    </row>
    <row r="87" customFormat="false" ht="15.75" hidden="false" customHeight="false" outlineLevel="0" collapsed="false">
      <c r="A87" s="172" t="s">
        <v>888</v>
      </c>
      <c r="B87" s="173" t="s">
        <v>887</v>
      </c>
      <c r="C87" s="173" t="s">
        <v>22</v>
      </c>
      <c r="D87" s="174" t="n">
        <v>500</v>
      </c>
    </row>
    <row r="88" customFormat="false" ht="15.75" hidden="false" customHeight="false" outlineLevel="0" collapsed="false">
      <c r="A88" s="172" t="s">
        <v>798</v>
      </c>
      <c r="B88" s="173" t="s">
        <v>797</v>
      </c>
      <c r="C88" s="173" t="s">
        <v>22</v>
      </c>
      <c r="D88" s="174" t="n">
        <v>500</v>
      </c>
    </row>
    <row r="89" customFormat="false" ht="15.75" hidden="false" customHeight="false" outlineLevel="0" collapsed="false">
      <c r="A89" s="172" t="s">
        <v>84</v>
      </c>
      <c r="B89" s="173" t="s">
        <v>83</v>
      </c>
      <c r="C89" s="173" t="s">
        <v>22</v>
      </c>
      <c r="D89" s="174" t="n">
        <v>500</v>
      </c>
    </row>
    <row r="90" customFormat="false" ht="15.75" hidden="false" customHeight="false" outlineLevel="0" collapsed="false">
      <c r="A90" s="172" t="s">
        <v>643</v>
      </c>
      <c r="B90" s="173" t="s">
        <v>642</v>
      </c>
      <c r="C90" s="173" t="s">
        <v>22</v>
      </c>
      <c r="D90" s="174" t="n">
        <v>500</v>
      </c>
    </row>
    <row r="91" customFormat="false" ht="15.75" hidden="false" customHeight="false" outlineLevel="0" collapsed="false">
      <c r="A91" s="172" t="s">
        <v>181</v>
      </c>
      <c r="B91" s="173" t="s">
        <v>180</v>
      </c>
      <c r="C91" s="173" t="s">
        <v>22</v>
      </c>
      <c r="D91" s="174" t="n">
        <v>500</v>
      </c>
    </row>
    <row r="92" customFormat="false" ht="15.75" hidden="false" customHeight="false" outlineLevel="0" collapsed="false">
      <c r="A92" s="172" t="s">
        <v>742</v>
      </c>
      <c r="B92" s="173" t="s">
        <v>741</v>
      </c>
      <c r="C92" s="173" t="s">
        <v>22</v>
      </c>
      <c r="D92" s="174" t="n">
        <v>500</v>
      </c>
    </row>
    <row r="93" customFormat="false" ht="15.75" hidden="false" customHeight="false" outlineLevel="0" collapsed="false">
      <c r="A93" s="172" t="s">
        <v>983</v>
      </c>
      <c r="B93" s="173" t="s">
        <v>982</v>
      </c>
      <c r="C93" s="173" t="s">
        <v>22</v>
      </c>
      <c r="D93" s="174" t="n">
        <v>312</v>
      </c>
    </row>
    <row r="94" customFormat="false" ht="15.75" hidden="false" customHeight="false" outlineLevel="0" collapsed="false">
      <c r="A94" s="172" t="s">
        <v>1491</v>
      </c>
      <c r="B94" s="173" t="s">
        <v>1452</v>
      </c>
      <c r="C94" s="173" t="s">
        <v>34</v>
      </c>
      <c r="D94" s="174" t="n">
        <v>300</v>
      </c>
    </row>
    <row r="95" customFormat="false" ht="15.75" hidden="false" customHeight="false" outlineLevel="0" collapsed="false">
      <c r="A95" s="172" t="n">
        <v>400499</v>
      </c>
      <c r="B95" s="173" t="s">
        <v>769</v>
      </c>
      <c r="C95" s="173" t="s">
        <v>25</v>
      </c>
      <c r="D95" s="174" t="n">
        <v>300</v>
      </c>
    </row>
    <row r="96" customFormat="false" ht="15.75" hidden="false" customHeight="false" outlineLevel="0" collapsed="false">
      <c r="A96" s="172" t="s">
        <v>604</v>
      </c>
      <c r="B96" s="173" t="s">
        <v>603</v>
      </c>
      <c r="C96" s="173" t="s">
        <v>26</v>
      </c>
      <c r="D96" s="174" t="n">
        <v>250</v>
      </c>
    </row>
    <row r="97" customFormat="false" ht="15.75" hidden="false" customHeight="false" outlineLevel="0" collapsed="false">
      <c r="A97" s="172" t="s">
        <v>835</v>
      </c>
      <c r="B97" s="173" t="s">
        <v>834</v>
      </c>
      <c r="C97" s="173" t="s">
        <v>34</v>
      </c>
      <c r="D97" s="174" t="n">
        <v>250</v>
      </c>
    </row>
    <row r="98" customFormat="false" ht="15.75" hidden="false" customHeight="false" outlineLevel="0" collapsed="false">
      <c r="A98" s="172" t="s">
        <v>650</v>
      </c>
      <c r="B98" s="173" t="s">
        <v>649</v>
      </c>
      <c r="C98" s="173" t="s">
        <v>34</v>
      </c>
      <c r="D98" s="174" t="n">
        <v>250</v>
      </c>
    </row>
    <row r="99" customFormat="false" ht="15.75" hidden="false" customHeight="false" outlineLevel="0" collapsed="false">
      <c r="A99" s="172" t="s">
        <v>1290</v>
      </c>
      <c r="B99" s="173" t="s">
        <v>1289</v>
      </c>
      <c r="C99" s="173" t="s">
        <v>34</v>
      </c>
      <c r="D99" s="174" t="n">
        <v>250</v>
      </c>
    </row>
    <row r="100" customFormat="false" ht="15.75" hidden="false" customHeight="false" outlineLevel="0" collapsed="false">
      <c r="A100" s="172" t="s">
        <v>794</v>
      </c>
      <c r="B100" s="173" t="s">
        <v>793</v>
      </c>
      <c r="C100" s="173" t="s">
        <v>34</v>
      </c>
      <c r="D100" s="174" t="n">
        <v>250</v>
      </c>
    </row>
    <row r="101" customFormat="false" ht="15.75" hidden="false" customHeight="false" outlineLevel="0" collapsed="false">
      <c r="A101" s="172" t="s">
        <v>997</v>
      </c>
      <c r="B101" s="173" t="s">
        <v>996</v>
      </c>
      <c r="C101" s="173" t="s">
        <v>22</v>
      </c>
      <c r="D101" s="174" t="n">
        <v>250</v>
      </c>
    </row>
    <row r="102" customFormat="false" ht="15.75" hidden="false" customHeight="false" outlineLevel="0" collapsed="false">
      <c r="A102" s="172" t="s">
        <v>762</v>
      </c>
      <c r="B102" s="173" t="s">
        <v>761</v>
      </c>
      <c r="C102" s="173" t="s">
        <v>34</v>
      </c>
      <c r="D102" s="174" t="n">
        <v>250</v>
      </c>
    </row>
    <row r="103" customFormat="false" ht="15.75" hidden="false" customHeight="false" outlineLevel="0" collapsed="false">
      <c r="A103" s="172" t="s">
        <v>1238</v>
      </c>
      <c r="B103" s="173" t="s">
        <v>1237</v>
      </c>
      <c r="C103" s="173" t="s">
        <v>25</v>
      </c>
      <c r="D103" s="174" t="n">
        <v>200</v>
      </c>
    </row>
    <row r="104" customFormat="false" ht="15.75" hidden="false" customHeight="false" outlineLevel="0" collapsed="false">
      <c r="A104" s="172" t="s">
        <v>1740</v>
      </c>
      <c r="B104" s="173" t="s">
        <v>1739</v>
      </c>
      <c r="C104" s="173" t="s">
        <v>36</v>
      </c>
      <c r="D104" s="174" t="n">
        <v>200</v>
      </c>
    </row>
    <row r="105" customFormat="false" ht="15.75" hidden="false" customHeight="false" outlineLevel="0" collapsed="false">
      <c r="A105" s="172" t="s">
        <v>1251</v>
      </c>
      <c r="B105" s="173" t="s">
        <v>1250</v>
      </c>
      <c r="C105" s="173" t="s">
        <v>25</v>
      </c>
      <c r="D105" s="174" t="n">
        <v>200</v>
      </c>
    </row>
    <row r="106" customFormat="false" ht="15.75" hidden="false" customHeight="false" outlineLevel="0" collapsed="false">
      <c r="A106" s="172" t="s">
        <v>1523</v>
      </c>
      <c r="B106" s="173" t="s">
        <v>1522</v>
      </c>
      <c r="C106" s="173" t="s">
        <v>40</v>
      </c>
      <c r="D106" s="174" t="n">
        <v>200</v>
      </c>
    </row>
    <row r="107" customFormat="false" ht="15.75" hidden="false" customHeight="false" outlineLevel="0" collapsed="false">
      <c r="A107" s="172" t="s">
        <v>1398</v>
      </c>
      <c r="B107" s="173" t="s">
        <v>1397</v>
      </c>
      <c r="C107" s="173" t="s">
        <v>34</v>
      </c>
      <c r="D107" s="174" t="n">
        <v>100</v>
      </c>
    </row>
    <row r="108" customFormat="false" ht="15.75" hidden="false" customHeight="false" outlineLevel="0" collapsed="false">
      <c r="A108" s="172" t="s">
        <v>1516</v>
      </c>
      <c r="B108" s="173" t="s">
        <v>1515</v>
      </c>
      <c r="C108" s="173" t="s">
        <v>25</v>
      </c>
      <c r="D108" s="174" t="n">
        <v>100</v>
      </c>
    </row>
    <row r="109" customFormat="false" ht="15.75" hidden="false" customHeight="false" outlineLevel="0" collapsed="false">
      <c r="A109" s="172" t="n">
        <v>374874</v>
      </c>
      <c r="B109" s="173" t="s">
        <v>860</v>
      </c>
      <c r="C109" s="173" t="s">
        <v>26</v>
      </c>
      <c r="D109" s="174" t="n">
        <v>100</v>
      </c>
    </row>
    <row r="110" customFormat="false" ht="15.75" hidden="false" customHeight="false" outlineLevel="0" collapsed="false">
      <c r="A110" s="172" t="s">
        <v>1196</v>
      </c>
      <c r="B110" s="173" t="s">
        <v>1195</v>
      </c>
      <c r="C110" s="173" t="s">
        <v>22</v>
      </c>
      <c r="D110" s="174" t="n">
        <v>100</v>
      </c>
    </row>
    <row r="111" customFormat="false" ht="15.75" hidden="false" customHeight="false" outlineLevel="0" collapsed="false">
      <c r="A111" s="172" t="s">
        <v>1265</v>
      </c>
      <c r="B111" s="173" t="s">
        <v>1264</v>
      </c>
      <c r="C111" s="173" t="s">
        <v>22</v>
      </c>
      <c r="D111" s="174" t="n">
        <v>100</v>
      </c>
    </row>
    <row r="112" customFormat="false" ht="15.75" hidden="false" customHeight="false" outlineLevel="0" collapsed="false">
      <c r="A112" s="172" t="s">
        <v>1010</v>
      </c>
      <c r="B112" s="173" t="s">
        <v>1009</v>
      </c>
      <c r="C112" s="173" t="s">
        <v>34</v>
      </c>
      <c r="D112" s="174" t="n">
        <v>100</v>
      </c>
    </row>
    <row r="113" customFormat="false" ht="15.75" hidden="false" customHeight="false" outlineLevel="0" collapsed="false">
      <c r="A113" s="172" t="s">
        <v>1244</v>
      </c>
      <c r="B113" s="173" t="s">
        <v>1243</v>
      </c>
      <c r="C113" s="173" t="s">
        <v>38</v>
      </c>
      <c r="D113" s="174" t="n">
        <v>100</v>
      </c>
    </row>
    <row r="114" customFormat="false" ht="15.75" hidden="false" customHeight="false" outlineLevel="0" collapsed="false">
      <c r="A114" s="172" t="s">
        <v>1683</v>
      </c>
      <c r="B114" s="173" t="s">
        <v>1682</v>
      </c>
      <c r="C114" s="173" t="s">
        <v>22</v>
      </c>
      <c r="D114" s="174" t="n">
        <v>100</v>
      </c>
    </row>
    <row r="115" customFormat="false" ht="15.75" hidden="false" customHeight="false" outlineLevel="0" collapsed="false">
      <c r="A115" s="172" t="s">
        <v>589</v>
      </c>
      <c r="B115" s="173" t="s">
        <v>588</v>
      </c>
      <c r="C115" s="173" t="s">
        <v>22</v>
      </c>
      <c r="D115" s="174" t="n">
        <v>100</v>
      </c>
    </row>
    <row r="116" customFormat="false" ht="15.75" hidden="false" customHeight="false" outlineLevel="0" collapsed="false">
      <c r="A116" s="172" t="s">
        <v>1393</v>
      </c>
      <c r="B116" s="173" t="s">
        <v>1392</v>
      </c>
      <c r="C116" s="173" t="s">
        <v>34</v>
      </c>
      <c r="D116" s="174" t="n">
        <v>100</v>
      </c>
    </row>
    <row r="117" customFormat="false" ht="15.75" hidden="false" customHeight="false" outlineLevel="0" collapsed="false">
      <c r="A117" s="172" t="s">
        <v>508</v>
      </c>
      <c r="B117" s="173" t="s">
        <v>507</v>
      </c>
      <c r="C117" s="173" t="s">
        <v>34</v>
      </c>
      <c r="D117" s="174" t="n">
        <v>100</v>
      </c>
    </row>
    <row r="118" customFormat="false" ht="15.75" hidden="false" customHeight="false" outlineLevel="0" collapsed="false">
      <c r="A118" s="172" t="s">
        <v>844</v>
      </c>
      <c r="B118" s="173" t="s">
        <v>843</v>
      </c>
      <c r="C118" s="173" t="s">
        <v>25</v>
      </c>
      <c r="D118" s="174" t="n">
        <v>100</v>
      </c>
    </row>
    <row r="119" customFormat="false" ht="15.75" hidden="false" customHeight="false" outlineLevel="0" collapsed="false">
      <c r="A119" s="172" t="s">
        <v>1453</v>
      </c>
      <c r="B119" s="173" t="s">
        <v>1452</v>
      </c>
      <c r="C119" s="173" t="s">
        <v>34</v>
      </c>
      <c r="D119" s="174" t="n">
        <v>100</v>
      </c>
    </row>
    <row r="120" customFormat="false" ht="15.75" hidden="false" customHeight="false" outlineLevel="0" collapsed="false">
      <c r="A120" s="172" t="s">
        <v>438</v>
      </c>
      <c r="B120" s="173" t="s">
        <v>437</v>
      </c>
      <c r="C120" s="173" t="s">
        <v>22</v>
      </c>
      <c r="D120" s="174" t="n">
        <v>53</v>
      </c>
    </row>
    <row r="121" customFormat="false" ht="15.75" hidden="false" customHeight="false" outlineLevel="0" collapsed="false">
      <c r="A121" s="172" t="s">
        <v>1222</v>
      </c>
      <c r="B121" s="173" t="s">
        <v>1221</v>
      </c>
      <c r="C121" s="173" t="s">
        <v>26</v>
      </c>
      <c r="D121" s="174" t="n">
        <v>50</v>
      </c>
    </row>
    <row r="122" customFormat="false" ht="15.75" hidden="false" customHeight="false" outlineLevel="0" collapsed="false">
      <c r="A122" s="172" t="s">
        <v>549</v>
      </c>
      <c r="B122" s="173" t="s">
        <v>548</v>
      </c>
      <c r="C122" s="173" t="s">
        <v>22</v>
      </c>
      <c r="D122" s="174" t="n">
        <v>50</v>
      </c>
    </row>
    <row r="123" customFormat="false" ht="15.75" hidden="false" customHeight="false" outlineLevel="0" collapsed="false">
      <c r="A123" s="172" t="s">
        <v>1468</v>
      </c>
      <c r="B123" s="173" t="s">
        <v>1467</v>
      </c>
      <c r="C123" s="173" t="s">
        <v>22</v>
      </c>
      <c r="D123" s="174" t="n">
        <v>50</v>
      </c>
    </row>
    <row r="124" customFormat="false" ht="15.75" hidden="false" customHeight="false" outlineLevel="0" collapsed="false">
      <c r="A124" s="172" t="s">
        <v>137</v>
      </c>
      <c r="B124" s="173" t="s">
        <v>136</v>
      </c>
      <c r="C124" s="173" t="s">
        <v>22</v>
      </c>
      <c r="D124" s="174" t="n">
        <v>50</v>
      </c>
    </row>
    <row r="125" customFormat="false" ht="15.75" hidden="false" customHeight="false" outlineLevel="0" collapsed="false">
      <c r="A125" s="172" t="s">
        <v>850</v>
      </c>
      <c r="B125" s="173" t="s">
        <v>849</v>
      </c>
      <c r="C125" s="173" t="s">
        <v>38</v>
      </c>
      <c r="D125" s="174" t="n">
        <v>50</v>
      </c>
    </row>
    <row r="126" customFormat="false" ht="15.75" hidden="false" customHeight="false" outlineLevel="0" collapsed="false">
      <c r="A126" s="172" t="s">
        <v>405</v>
      </c>
      <c r="B126" s="173" t="s">
        <v>404</v>
      </c>
      <c r="C126" s="173" t="s">
        <v>22</v>
      </c>
      <c r="D126" s="174" t="n">
        <v>35</v>
      </c>
    </row>
    <row r="127" customFormat="false" ht="15.75" hidden="false" customHeight="false" outlineLevel="0" collapsed="false">
      <c r="A127" s="172" t="s">
        <v>1823</v>
      </c>
      <c r="B127" s="173" t="s">
        <v>1822</v>
      </c>
      <c r="C127" s="173" t="s">
        <v>31</v>
      </c>
      <c r="D127" s="174" t="n">
        <v>30</v>
      </c>
    </row>
    <row r="128" customFormat="false" ht="15.75" hidden="false" customHeight="false" outlineLevel="0" collapsed="false">
      <c r="A128" s="172" t="s">
        <v>1309</v>
      </c>
      <c r="B128" s="173" t="s">
        <v>1308</v>
      </c>
      <c r="C128" s="173" t="s">
        <v>18</v>
      </c>
      <c r="D128" s="174" t="n">
        <v>25</v>
      </c>
    </row>
    <row r="129" customFormat="false" ht="15.75" hidden="false" customHeight="false" outlineLevel="0" collapsed="false">
      <c r="A129" s="172" t="s">
        <v>197</v>
      </c>
      <c r="B129" s="173" t="s">
        <v>196</v>
      </c>
      <c r="C129" s="173" t="s">
        <v>22</v>
      </c>
      <c r="D129" s="174" t="n">
        <v>25</v>
      </c>
    </row>
    <row r="130" customFormat="false" ht="15.75" hidden="false" customHeight="false" outlineLevel="0" collapsed="false">
      <c r="A130" s="172" t="s">
        <v>821</v>
      </c>
      <c r="B130" s="173" t="s">
        <v>820</v>
      </c>
      <c r="C130" s="173" t="s">
        <v>22</v>
      </c>
      <c r="D130" s="174" t="n">
        <v>25</v>
      </c>
    </row>
    <row r="131" customFormat="false" ht="15.75" hidden="false" customHeight="false" outlineLevel="0" collapsed="false">
      <c r="A131" s="172" t="s">
        <v>635</v>
      </c>
      <c r="B131" s="173" t="s">
        <v>634</v>
      </c>
      <c r="C131" s="173" t="s">
        <v>22</v>
      </c>
      <c r="D131" s="174" t="n">
        <v>25</v>
      </c>
    </row>
    <row r="132" customFormat="false" ht="15.75" hidden="false" customHeight="false" outlineLevel="0" collapsed="false">
      <c r="A132" s="172" t="s">
        <v>1446</v>
      </c>
      <c r="B132" s="173" t="s">
        <v>1445</v>
      </c>
      <c r="C132" s="173" t="s">
        <v>22</v>
      </c>
      <c r="D132" s="174" t="n">
        <v>24</v>
      </c>
    </row>
    <row r="133" customFormat="false" ht="15.75" hidden="false" customHeight="false" outlineLevel="0" collapsed="false">
      <c r="A133" s="172" t="n">
        <v>354574</v>
      </c>
      <c r="B133" s="173" t="s">
        <v>1111</v>
      </c>
      <c r="C133" s="173" t="s">
        <v>22</v>
      </c>
      <c r="D133" s="174" t="n">
        <v>24</v>
      </c>
    </row>
    <row r="134" customFormat="false" ht="15.75" hidden="false" customHeight="false" outlineLevel="0" collapsed="false">
      <c r="A134" s="172" t="s">
        <v>486</v>
      </c>
      <c r="B134" s="173" t="s">
        <v>485</v>
      </c>
      <c r="C134" s="173" t="s">
        <v>22</v>
      </c>
      <c r="D134" s="174" t="n">
        <v>21</v>
      </c>
    </row>
    <row r="135" customFormat="false" ht="15.75" hidden="false" customHeight="false" outlineLevel="0" collapsed="false">
      <c r="A135" s="172" t="s">
        <v>148</v>
      </c>
      <c r="B135" s="173" t="s">
        <v>147</v>
      </c>
      <c r="C135" s="173" t="s">
        <v>22</v>
      </c>
      <c r="D135" s="174" t="n">
        <v>21</v>
      </c>
    </row>
    <row r="136" customFormat="false" ht="15.75" hidden="false" customHeight="false" outlineLevel="0" collapsed="false">
      <c r="A136" s="172" t="s">
        <v>152</v>
      </c>
      <c r="B136" s="173" t="s">
        <v>151</v>
      </c>
      <c r="C136" s="173" t="s">
        <v>22</v>
      </c>
      <c r="D136" s="174" t="n">
        <v>20</v>
      </c>
    </row>
    <row r="137" customFormat="false" ht="15.75" hidden="false" customHeight="false" outlineLevel="0" collapsed="false">
      <c r="A137" s="172" t="s">
        <v>479</v>
      </c>
      <c r="B137" s="173" t="s">
        <v>478</v>
      </c>
      <c r="C137" s="173" t="s">
        <v>22</v>
      </c>
      <c r="D137" s="174" t="n">
        <v>16</v>
      </c>
    </row>
    <row r="138" customFormat="false" ht="15.75" hidden="false" customHeight="false" outlineLevel="0" collapsed="false">
      <c r="A138" s="172" t="s">
        <v>472</v>
      </c>
      <c r="B138" s="173" t="s">
        <v>471</v>
      </c>
      <c r="C138" s="173" t="s">
        <v>22</v>
      </c>
      <c r="D138" s="174" t="n">
        <v>15</v>
      </c>
    </row>
    <row r="139" customFormat="false" ht="15.75" hidden="false" customHeight="false" outlineLevel="0" collapsed="false">
      <c r="A139" s="172" t="s">
        <v>1770</v>
      </c>
      <c r="B139" s="173" t="s">
        <v>1769</v>
      </c>
      <c r="C139" s="173" t="s">
        <v>22</v>
      </c>
      <c r="D139" s="174" t="n">
        <v>13</v>
      </c>
    </row>
    <row r="140" customFormat="false" ht="15.75" hidden="false" customHeight="false" outlineLevel="0" collapsed="false">
      <c r="A140" s="172" t="s">
        <v>161</v>
      </c>
      <c r="B140" s="173" t="s">
        <v>160</v>
      </c>
      <c r="C140" s="173" t="s">
        <v>22</v>
      </c>
      <c r="D140" s="174" t="n">
        <v>13</v>
      </c>
    </row>
    <row r="141" customFormat="false" ht="15.75" hidden="false" customHeight="false" outlineLevel="0" collapsed="false">
      <c r="A141" s="172" t="s">
        <v>570</v>
      </c>
      <c r="B141" s="173" t="s">
        <v>569</v>
      </c>
      <c r="C141" s="173" t="s">
        <v>22</v>
      </c>
      <c r="D141" s="174" t="n">
        <v>12</v>
      </c>
    </row>
    <row r="142" customFormat="false" ht="15.75" hidden="false" customHeight="false" outlineLevel="0" collapsed="false">
      <c r="A142" s="172" t="s">
        <v>422</v>
      </c>
      <c r="B142" s="173" t="s">
        <v>421</v>
      </c>
      <c r="C142" s="173" t="s">
        <v>17</v>
      </c>
      <c r="D142" s="174" t="n">
        <v>12</v>
      </c>
    </row>
    <row r="143" customFormat="false" ht="15.75" hidden="false" customHeight="false" outlineLevel="0" collapsed="false">
      <c r="A143" s="172" t="s">
        <v>452</v>
      </c>
      <c r="B143" s="173" t="s">
        <v>451</v>
      </c>
      <c r="C143" s="173" t="s">
        <v>19</v>
      </c>
      <c r="D143" s="174" t="n">
        <v>12</v>
      </c>
    </row>
    <row r="144" customFormat="false" ht="15.75" hidden="false" customHeight="false" outlineLevel="0" collapsed="false">
      <c r="A144" s="172" t="s">
        <v>1783</v>
      </c>
      <c r="B144" s="173" t="s">
        <v>1782</v>
      </c>
      <c r="C144" s="173" t="s">
        <v>19</v>
      </c>
      <c r="D144" s="174" t="n">
        <v>10</v>
      </c>
    </row>
    <row r="145" customFormat="false" ht="15.75" hidden="false" customHeight="false" outlineLevel="0" collapsed="false">
      <c r="A145" s="172" t="s">
        <v>1776</v>
      </c>
      <c r="B145" s="173" t="s">
        <v>1775</v>
      </c>
      <c r="C145" s="173" t="s">
        <v>41</v>
      </c>
      <c r="D145" s="174" t="n">
        <v>10</v>
      </c>
    </row>
    <row r="146" customFormat="false" ht="15.75" hidden="false" customHeight="false" outlineLevel="0" collapsed="false">
      <c r="A146" s="172" t="s">
        <v>895</v>
      </c>
      <c r="B146" s="173" t="s">
        <v>894</v>
      </c>
      <c r="C146" s="173" t="s">
        <v>22</v>
      </c>
      <c r="D146" s="174" t="n">
        <v>10</v>
      </c>
    </row>
    <row r="147" customFormat="false" ht="15.75" hidden="false" customHeight="false" outlineLevel="0" collapsed="false">
      <c r="A147" s="172" t="s">
        <v>970</v>
      </c>
      <c r="B147" s="173" t="s">
        <v>969</v>
      </c>
      <c r="C147" s="173" t="s">
        <v>40</v>
      </c>
      <c r="D147" s="174" t="n">
        <v>10</v>
      </c>
    </row>
    <row r="148" customFormat="false" ht="15.75" hidden="false" customHeight="false" outlineLevel="0" collapsed="false">
      <c r="A148" s="172" t="s">
        <v>1819</v>
      </c>
      <c r="B148" s="173" t="s">
        <v>1818</v>
      </c>
      <c r="C148" s="173" t="s">
        <v>31</v>
      </c>
      <c r="D148" s="174" t="n">
        <v>10</v>
      </c>
    </row>
    <row r="149" customFormat="false" ht="15.75" hidden="false" customHeight="false" outlineLevel="0" collapsed="false">
      <c r="A149" s="172" t="s">
        <v>1821</v>
      </c>
      <c r="B149" s="173" t="s">
        <v>1820</v>
      </c>
      <c r="C149" s="173" t="s">
        <v>31</v>
      </c>
      <c r="D149" s="174" t="n">
        <v>10</v>
      </c>
    </row>
    <row r="150" customFormat="false" ht="15.75" hidden="false" customHeight="false" outlineLevel="0" collapsed="false">
      <c r="A150" s="172" t="s">
        <v>446</v>
      </c>
      <c r="B150" s="173" t="s">
        <v>445</v>
      </c>
      <c r="C150" s="173" t="s">
        <v>17</v>
      </c>
      <c r="D150" s="174" t="n">
        <v>10</v>
      </c>
    </row>
    <row r="151" customFormat="false" ht="15.75" hidden="false" customHeight="false" outlineLevel="0" collapsed="false">
      <c r="A151" s="172" t="s">
        <v>499</v>
      </c>
      <c r="B151" s="173" t="s">
        <v>498</v>
      </c>
      <c r="C151" s="173" t="s">
        <v>22</v>
      </c>
      <c r="D151" s="174" t="n">
        <v>9</v>
      </c>
    </row>
    <row r="152" customFormat="false" ht="15.75" hidden="false" customHeight="false" outlineLevel="0" collapsed="false">
      <c r="A152" s="172" t="s">
        <v>1807</v>
      </c>
      <c r="B152" s="173" t="s">
        <v>1806</v>
      </c>
      <c r="C152" s="173" t="s">
        <v>21</v>
      </c>
      <c r="D152" s="174" t="n">
        <v>8</v>
      </c>
    </row>
    <row r="153" customFormat="false" ht="15.75" hidden="false" customHeight="false" outlineLevel="0" collapsed="false">
      <c r="A153" s="172" t="s">
        <v>828</v>
      </c>
      <c r="B153" s="173" t="s">
        <v>827</v>
      </c>
      <c r="C153" s="173" t="s">
        <v>22</v>
      </c>
      <c r="D153" s="174" t="n">
        <v>8</v>
      </c>
    </row>
    <row r="154" customFormat="false" ht="15.75" hidden="false" customHeight="false" outlineLevel="0" collapsed="false">
      <c r="A154" s="172" t="s">
        <v>1817</v>
      </c>
      <c r="B154" s="173" t="s">
        <v>1816</v>
      </c>
      <c r="C154" s="173" t="s">
        <v>30</v>
      </c>
      <c r="D154" s="174" t="n">
        <v>8</v>
      </c>
    </row>
    <row r="155" customFormat="false" ht="15.75" hidden="false" customHeight="false" outlineLevel="0" collapsed="false">
      <c r="A155" s="172" t="s">
        <v>1106</v>
      </c>
      <c r="B155" s="173" t="s">
        <v>1105</v>
      </c>
      <c r="C155" s="173" t="s">
        <v>22</v>
      </c>
      <c r="D155" s="174" t="n">
        <v>7</v>
      </c>
    </row>
    <row r="156" customFormat="false" ht="15.75" hidden="false" customHeight="false" outlineLevel="0" collapsed="false">
      <c r="A156" s="172" t="s">
        <v>856</v>
      </c>
      <c r="B156" s="173" t="s">
        <v>855</v>
      </c>
      <c r="C156" s="173" t="s">
        <v>22</v>
      </c>
      <c r="D156" s="174" t="n">
        <v>7</v>
      </c>
    </row>
    <row r="157" customFormat="false" ht="15.75" hidden="false" customHeight="false" outlineLevel="0" collapsed="false">
      <c r="A157" s="172" t="s">
        <v>1083</v>
      </c>
      <c r="B157" s="173" t="s">
        <v>1082</v>
      </c>
      <c r="C157" s="173" t="s">
        <v>21</v>
      </c>
      <c r="D157" s="174" t="n">
        <v>6</v>
      </c>
    </row>
    <row r="158" customFormat="false" ht="15.75" hidden="false" customHeight="false" outlineLevel="0" collapsed="false">
      <c r="A158" s="172" t="s">
        <v>939</v>
      </c>
      <c r="B158" s="173" t="s">
        <v>938</v>
      </c>
      <c r="C158" s="173" t="s">
        <v>40</v>
      </c>
      <c r="D158" s="174" t="n">
        <v>6</v>
      </c>
    </row>
    <row r="159" customFormat="false" ht="15.75" hidden="false" customHeight="false" outlineLevel="0" collapsed="false">
      <c r="A159" s="172" t="s">
        <v>1815</v>
      </c>
      <c r="B159" s="173" t="s">
        <v>1814</v>
      </c>
      <c r="C159" s="173" t="s">
        <v>21</v>
      </c>
      <c r="D159" s="174" t="n">
        <v>6</v>
      </c>
    </row>
    <row r="160" customFormat="false" ht="15.75" hidden="false" customHeight="false" outlineLevel="0" collapsed="false">
      <c r="A160" s="172" t="s">
        <v>212</v>
      </c>
      <c r="B160" s="173" t="s">
        <v>211</v>
      </c>
      <c r="C160" s="173" t="s">
        <v>21</v>
      </c>
      <c r="D160" s="174" t="n">
        <v>6</v>
      </c>
    </row>
    <row r="161" customFormat="false" ht="15.75" hidden="false" customHeight="false" outlineLevel="0" collapsed="false">
      <c r="A161" s="172" t="n">
        <v>374748</v>
      </c>
      <c r="B161" s="173" t="s">
        <v>1512</v>
      </c>
      <c r="C161" s="173" t="s">
        <v>28</v>
      </c>
      <c r="D161" s="174" t="n">
        <v>5</v>
      </c>
    </row>
    <row r="162" customFormat="false" ht="15.75" hidden="false" customHeight="false" outlineLevel="0" collapsed="false">
      <c r="A162" s="172" t="s">
        <v>902</v>
      </c>
      <c r="B162" s="173" t="s">
        <v>901</v>
      </c>
      <c r="C162" s="173" t="s">
        <v>34</v>
      </c>
      <c r="D162" s="174" t="n">
        <v>5</v>
      </c>
    </row>
    <row r="163" customFormat="false" ht="15.75" hidden="false" customHeight="false" outlineLevel="0" collapsed="false">
      <c r="A163" s="172" t="s">
        <v>1498</v>
      </c>
      <c r="B163" s="173" t="s">
        <v>1497</v>
      </c>
      <c r="C163" s="173" t="s">
        <v>28</v>
      </c>
      <c r="D163" s="174" t="n">
        <v>5</v>
      </c>
    </row>
    <row r="164" customFormat="false" ht="15.75" hidden="false" customHeight="false" outlineLevel="0" collapsed="false">
      <c r="A164" s="172" t="n">
        <v>327373</v>
      </c>
      <c r="B164" s="173" t="s">
        <v>1544</v>
      </c>
      <c r="C164" s="173" t="s">
        <v>32</v>
      </c>
      <c r="D164" s="174" t="n">
        <v>5</v>
      </c>
    </row>
    <row r="165" customFormat="false" ht="15.75" hidden="false" customHeight="false" outlineLevel="0" collapsed="false">
      <c r="A165" s="172" t="s">
        <v>594</v>
      </c>
      <c r="B165" s="173" t="s">
        <v>593</v>
      </c>
      <c r="C165" s="173" t="s">
        <v>25</v>
      </c>
      <c r="D165" s="174" t="n">
        <v>5</v>
      </c>
    </row>
    <row r="166" customFormat="false" ht="15.75" hidden="false" customHeight="false" outlineLevel="0" collapsed="false">
      <c r="A166" s="172" t="s">
        <v>112</v>
      </c>
      <c r="B166" s="173" t="s">
        <v>111</v>
      </c>
      <c r="C166" s="173" t="s">
        <v>38</v>
      </c>
      <c r="D166" s="174" t="n">
        <v>5</v>
      </c>
    </row>
    <row r="167" customFormat="false" ht="15.75" hidden="false" customHeight="false" outlineLevel="0" collapsed="false">
      <c r="A167" s="172" t="s">
        <v>1825</v>
      </c>
      <c r="B167" s="173" t="s">
        <v>1824</v>
      </c>
      <c r="C167" s="173" t="s">
        <v>32</v>
      </c>
      <c r="D167" s="174" t="n">
        <v>5</v>
      </c>
    </row>
    <row r="168" customFormat="false" ht="15.75" hidden="false" customHeight="false" outlineLevel="0" collapsed="false">
      <c r="A168" s="172" t="s">
        <v>867</v>
      </c>
      <c r="B168" s="173" t="s">
        <v>866</v>
      </c>
      <c r="C168" s="173" t="s">
        <v>32</v>
      </c>
      <c r="D168" s="174" t="n">
        <v>5</v>
      </c>
    </row>
    <row r="169" customFormat="false" ht="15.75" hidden="false" customHeight="false" outlineLevel="0" collapsed="false">
      <c r="A169" s="172" t="s">
        <v>274</v>
      </c>
      <c r="B169" s="173" t="s">
        <v>273</v>
      </c>
      <c r="C169" s="173" t="s">
        <v>19</v>
      </c>
      <c r="D169" s="174" t="n">
        <v>4</v>
      </c>
    </row>
    <row r="170" customFormat="false" ht="15.75" hidden="false" customHeight="false" outlineLevel="0" collapsed="false">
      <c r="A170" s="172" t="s">
        <v>265</v>
      </c>
      <c r="B170" s="173" t="s">
        <v>264</v>
      </c>
      <c r="C170" s="173" t="s">
        <v>35</v>
      </c>
      <c r="D170" s="174" t="n">
        <v>4</v>
      </c>
    </row>
    <row r="171" customFormat="false" ht="15.75" hidden="false" customHeight="false" outlineLevel="0" collapsed="false">
      <c r="A171" s="172" t="s">
        <v>1552</v>
      </c>
      <c r="B171" s="173" t="s">
        <v>1551</v>
      </c>
      <c r="C171" s="173" t="s">
        <v>22</v>
      </c>
      <c r="D171" s="174" t="n">
        <v>4</v>
      </c>
    </row>
    <row r="172" customFormat="false" ht="15.75" hidden="false" customHeight="false" outlineLevel="0" collapsed="false">
      <c r="A172" s="172" t="s">
        <v>1530</v>
      </c>
      <c r="B172" s="173" t="s">
        <v>1529</v>
      </c>
      <c r="C172" s="173" t="s">
        <v>18</v>
      </c>
      <c r="D172" s="174" t="n">
        <v>4</v>
      </c>
    </row>
    <row r="173" customFormat="false" ht="15.75" hidden="false" customHeight="false" outlineLevel="0" collapsed="false">
      <c r="A173" s="172" t="s">
        <v>1020</v>
      </c>
      <c r="B173" s="173" t="s">
        <v>1019</v>
      </c>
      <c r="C173" s="173" t="s">
        <v>18</v>
      </c>
      <c r="D173" s="174" t="n">
        <v>4</v>
      </c>
    </row>
    <row r="174" customFormat="false" ht="15.75" hidden="false" customHeight="false" outlineLevel="0" collapsed="false">
      <c r="A174" s="172" t="n">
        <v>346506</v>
      </c>
      <c r="B174" s="173" t="s">
        <v>240</v>
      </c>
      <c r="C174" s="173" t="s">
        <v>41</v>
      </c>
      <c r="D174" s="174" t="n">
        <v>3</v>
      </c>
    </row>
    <row r="175" customFormat="false" ht="15.75" hidden="false" customHeight="false" outlineLevel="0" collapsed="false">
      <c r="A175" s="172" t="s">
        <v>1331</v>
      </c>
      <c r="B175" s="173" t="s">
        <v>1330</v>
      </c>
      <c r="C175" s="173" t="s">
        <v>21</v>
      </c>
      <c r="D175" s="174" t="n">
        <v>3</v>
      </c>
    </row>
    <row r="176" customFormat="false" ht="15.75" hidden="false" customHeight="false" outlineLevel="0" collapsed="false">
      <c r="A176" s="172" t="s">
        <v>1430</v>
      </c>
      <c r="B176" s="173" t="s">
        <v>1429</v>
      </c>
      <c r="C176" s="173" t="s">
        <v>21</v>
      </c>
      <c r="D176" s="174" t="n">
        <v>3</v>
      </c>
    </row>
    <row r="177" customFormat="false" ht="15.75" hidden="false" customHeight="false" outlineLevel="0" collapsed="false">
      <c r="A177" s="172" t="s">
        <v>1355</v>
      </c>
      <c r="B177" s="173" t="s">
        <v>1354</v>
      </c>
      <c r="C177" s="173" t="s">
        <v>21</v>
      </c>
      <c r="D177" s="174" t="n">
        <v>3</v>
      </c>
    </row>
    <row r="178" customFormat="false" ht="15.75" hidden="false" customHeight="false" outlineLevel="0" collapsed="false">
      <c r="A178" s="172" t="s">
        <v>291</v>
      </c>
      <c r="B178" s="173" t="s">
        <v>290</v>
      </c>
      <c r="C178" s="173" t="s">
        <v>18</v>
      </c>
      <c r="D178" s="174" t="n">
        <v>3</v>
      </c>
    </row>
    <row r="179" customFormat="false" ht="15.75" hidden="false" customHeight="false" outlineLevel="0" collapsed="false">
      <c r="A179" s="172" t="s">
        <v>700</v>
      </c>
      <c r="B179" s="173" t="s">
        <v>699</v>
      </c>
      <c r="C179" s="173" t="s">
        <v>22</v>
      </c>
      <c r="D179" s="174" t="n">
        <v>3</v>
      </c>
    </row>
    <row r="180" customFormat="false" ht="15.75" hidden="false" customHeight="false" outlineLevel="0" collapsed="false">
      <c r="A180" s="172" t="s">
        <v>1560</v>
      </c>
      <c r="B180" s="173" t="s">
        <v>1559</v>
      </c>
      <c r="C180" s="173" t="s">
        <v>34</v>
      </c>
      <c r="D180" s="174" t="n">
        <v>2</v>
      </c>
    </row>
    <row r="181" customFormat="false" ht="15.75" hidden="false" customHeight="false" outlineLevel="0" collapsed="false">
      <c r="A181" s="172" t="s">
        <v>1484</v>
      </c>
      <c r="B181" s="173" t="s">
        <v>1483</v>
      </c>
      <c r="C181" s="173" t="s">
        <v>41</v>
      </c>
      <c r="D181" s="174" t="n">
        <v>2</v>
      </c>
    </row>
    <row r="182" customFormat="false" ht="15.75" hidden="false" customHeight="false" outlineLevel="0" collapsed="false">
      <c r="A182" s="172" t="s">
        <v>1790</v>
      </c>
      <c r="B182" s="173" t="s">
        <v>1789</v>
      </c>
      <c r="C182" s="173" t="s">
        <v>28</v>
      </c>
      <c r="D182" s="174" t="n">
        <v>2</v>
      </c>
    </row>
    <row r="183" customFormat="false" ht="15.75" hidden="false" customHeight="false" outlineLevel="0" collapsed="false">
      <c r="A183" s="172" t="s">
        <v>1297</v>
      </c>
      <c r="B183" s="173" t="s">
        <v>1296</v>
      </c>
      <c r="C183" s="173" t="s">
        <v>34</v>
      </c>
      <c r="D183" s="174" t="n">
        <v>2</v>
      </c>
    </row>
    <row r="184" customFormat="false" ht="15.75" hidden="false" customHeight="false" outlineLevel="0" collapsed="false">
      <c r="A184" s="172" t="s">
        <v>270</v>
      </c>
      <c r="B184" s="173" t="s">
        <v>269</v>
      </c>
      <c r="C184" s="173" t="s">
        <v>22</v>
      </c>
      <c r="D184" s="174" t="n">
        <v>2</v>
      </c>
    </row>
    <row r="185" customFormat="false" ht="15.75" hidden="false" customHeight="false" outlineLevel="0" collapsed="false">
      <c r="A185" s="172" t="s">
        <v>1506</v>
      </c>
      <c r="B185" s="173" t="s">
        <v>1505</v>
      </c>
      <c r="C185" s="173" t="s">
        <v>23</v>
      </c>
      <c r="D185" s="174" t="n">
        <v>2</v>
      </c>
    </row>
    <row r="186" customFormat="false" ht="15.75" hidden="false" customHeight="false" outlineLevel="0" collapsed="false">
      <c r="A186" s="172" t="s">
        <v>749</v>
      </c>
      <c r="B186" s="173" t="s">
        <v>748</v>
      </c>
      <c r="C186" s="173" t="s">
        <v>34</v>
      </c>
      <c r="D186" s="174" t="n">
        <v>2</v>
      </c>
    </row>
    <row r="187" customFormat="false" ht="15.75" hidden="false" customHeight="false" outlineLevel="0" collapsed="false">
      <c r="A187" s="172" t="s">
        <v>1166</v>
      </c>
      <c r="B187" s="173" t="s">
        <v>1165</v>
      </c>
      <c r="C187" s="173" t="s">
        <v>27</v>
      </c>
      <c r="D187" s="174" t="n">
        <v>2</v>
      </c>
    </row>
    <row r="188" customFormat="false" ht="15.75" hidden="false" customHeight="false" outlineLevel="0" collapsed="false">
      <c r="A188" s="172" t="s">
        <v>1158</v>
      </c>
      <c r="B188" s="173" t="s">
        <v>1157</v>
      </c>
      <c r="C188" s="173" t="s">
        <v>18</v>
      </c>
      <c r="D188" s="174" t="n">
        <v>2</v>
      </c>
    </row>
    <row r="189" customFormat="false" ht="15.75" hidden="false" customHeight="false" outlineLevel="0" collapsed="false">
      <c r="A189" s="172" t="s">
        <v>414</v>
      </c>
      <c r="B189" s="173" t="s">
        <v>413</v>
      </c>
      <c r="C189" s="173" t="s">
        <v>40</v>
      </c>
      <c r="D189" s="174" t="n">
        <v>2</v>
      </c>
    </row>
    <row r="190" customFormat="false" ht="15.75" hidden="false" customHeight="false" outlineLevel="0" collapsed="false">
      <c r="A190" s="172" t="s">
        <v>1801</v>
      </c>
      <c r="B190" s="173" t="s">
        <v>1800</v>
      </c>
      <c r="C190" s="173" t="s">
        <v>34</v>
      </c>
      <c r="D190" s="174" t="n">
        <v>2</v>
      </c>
    </row>
    <row r="191" customFormat="false" ht="15.75" hidden="false" customHeight="false" outlineLevel="0" collapsed="false">
      <c r="A191" s="172" t="s">
        <v>1346</v>
      </c>
      <c r="B191" s="173" t="s">
        <v>1345</v>
      </c>
      <c r="C191" s="173" t="s">
        <v>20</v>
      </c>
      <c r="D191" s="174" t="n">
        <v>2</v>
      </c>
    </row>
    <row r="192" customFormat="false" ht="15.75" hidden="false" customHeight="false" outlineLevel="0" collapsed="false">
      <c r="A192" s="172" t="s">
        <v>392</v>
      </c>
      <c r="B192" s="173" t="s">
        <v>391</v>
      </c>
      <c r="C192" s="173" t="s">
        <v>28</v>
      </c>
      <c r="D192" s="174" t="n">
        <v>2</v>
      </c>
    </row>
    <row r="193" customFormat="false" ht="15.75" hidden="false" customHeight="false" outlineLevel="0" collapsed="false">
      <c r="A193" s="172" t="s">
        <v>365</v>
      </c>
      <c r="B193" s="173" t="s">
        <v>364</v>
      </c>
      <c r="C193" s="173" t="s">
        <v>39</v>
      </c>
      <c r="D193" s="174" t="n">
        <v>1</v>
      </c>
    </row>
    <row r="194" customFormat="false" ht="15.75" hidden="false" customHeight="false" outlineLevel="0" collapsed="false">
      <c r="A194" s="172" t="s">
        <v>324</v>
      </c>
      <c r="B194" s="173" t="s">
        <v>323</v>
      </c>
      <c r="C194" s="173" t="s">
        <v>39</v>
      </c>
      <c r="D194" s="174" t="n">
        <v>1</v>
      </c>
    </row>
    <row r="195" customFormat="false" ht="15.75" hidden="false" customHeight="false" outlineLevel="0" collapsed="false">
      <c r="A195" s="172" t="s">
        <v>385</v>
      </c>
      <c r="B195" s="173" t="s">
        <v>384</v>
      </c>
      <c r="C195" s="173" t="s">
        <v>39</v>
      </c>
      <c r="D195" s="174" t="n">
        <v>1</v>
      </c>
    </row>
    <row r="196" customFormat="false" ht="15.75" hidden="false" customHeight="false" outlineLevel="0" collapsed="false">
      <c r="A196" s="172" t="s">
        <v>612</v>
      </c>
      <c r="B196" s="173" t="s">
        <v>611</v>
      </c>
      <c r="C196" s="173" t="s">
        <v>39</v>
      </c>
      <c r="D196" s="174" t="n">
        <v>1</v>
      </c>
    </row>
    <row r="197" customFormat="false" ht="15.75" hidden="false" customHeight="false" outlineLevel="0" collapsed="false">
      <c r="A197" s="172" t="s">
        <v>1212</v>
      </c>
      <c r="B197" s="173" t="s">
        <v>1211</v>
      </c>
      <c r="C197" s="173" t="s">
        <v>25</v>
      </c>
      <c r="D197" s="174" t="n">
        <v>1</v>
      </c>
    </row>
    <row r="198" customFormat="false" ht="15.75" hidden="false" customHeight="false" outlineLevel="0" collapsed="false">
      <c r="A198" s="172" t="s">
        <v>533</v>
      </c>
      <c r="B198" s="173" t="s">
        <v>532</v>
      </c>
      <c r="C198" s="173" t="s">
        <v>36</v>
      </c>
      <c r="D198" s="174" t="n">
        <v>1</v>
      </c>
    </row>
    <row r="199" customFormat="false" ht="15.75" hidden="false" customHeight="false" outlineLevel="0" collapsed="false">
      <c r="A199" s="172" t="s">
        <v>339</v>
      </c>
      <c r="B199" s="173" t="s">
        <v>338</v>
      </c>
      <c r="C199" s="173" t="s">
        <v>39</v>
      </c>
      <c r="D199" s="174" t="n">
        <v>1</v>
      </c>
    </row>
    <row r="200" customFormat="false" ht="15.75" hidden="false" customHeight="false" outlineLevel="0" collapsed="false">
      <c r="A200" s="172" t="s">
        <v>1581</v>
      </c>
      <c r="B200" s="173" t="s">
        <v>1580</v>
      </c>
      <c r="C200" s="173" t="s">
        <v>34</v>
      </c>
      <c r="D200" s="174" t="n">
        <v>1</v>
      </c>
    </row>
    <row r="201" customFormat="false" ht="15.75" hidden="false" customHeight="false" outlineLevel="0" collapsed="false">
      <c r="A201" s="172" t="s">
        <v>315</v>
      </c>
      <c r="B201" s="173" t="s">
        <v>314</v>
      </c>
      <c r="C201" s="173" t="s">
        <v>39</v>
      </c>
      <c r="D201" s="174" t="n">
        <v>1</v>
      </c>
    </row>
    <row r="202" customFormat="false" ht="15.75" hidden="false" customHeight="false" outlineLevel="0" collapsed="false">
      <c r="A202" s="172" t="s">
        <v>670</v>
      </c>
      <c r="B202" s="173" t="s">
        <v>669</v>
      </c>
      <c r="C202" s="173" t="s">
        <v>34</v>
      </c>
      <c r="D202" s="174" t="n">
        <v>1</v>
      </c>
    </row>
    <row r="203" customFormat="false" ht="15.75" hidden="false" customHeight="false" outlineLevel="0" collapsed="false">
      <c r="A203" s="172" t="s">
        <v>1149</v>
      </c>
      <c r="B203" s="173" t="s">
        <v>1148</v>
      </c>
      <c r="C203" s="173" t="s">
        <v>26</v>
      </c>
      <c r="D203" s="174" t="n">
        <v>1</v>
      </c>
    </row>
    <row r="204" customFormat="false" ht="15.75" hidden="false" customHeight="false" outlineLevel="0" collapsed="false">
      <c r="A204" s="172" t="s">
        <v>1127</v>
      </c>
      <c r="B204" s="173" t="s">
        <v>1126</v>
      </c>
      <c r="C204" s="173" t="s">
        <v>18</v>
      </c>
      <c r="D204" s="174" t="n">
        <v>1</v>
      </c>
    </row>
    <row r="205" customFormat="false" ht="15.75" hidden="false" customHeight="false" outlineLevel="0" collapsed="false">
      <c r="A205" s="172" t="s">
        <v>346</v>
      </c>
      <c r="B205" s="173" t="s">
        <v>345</v>
      </c>
      <c r="C205" s="173" t="s">
        <v>39</v>
      </c>
      <c r="D205" s="174" t="n">
        <v>1</v>
      </c>
    </row>
    <row r="206" customFormat="false" ht="15.75" hidden="false" customHeight="false" outlineLevel="0" collapsed="false">
      <c r="A206" s="172" t="s">
        <v>954</v>
      </c>
      <c r="B206" s="173" t="s">
        <v>953</v>
      </c>
      <c r="C206" s="173" t="s">
        <v>40</v>
      </c>
      <c r="D206" s="174" t="n">
        <v>1</v>
      </c>
    </row>
    <row r="207" customFormat="false" ht="15.75" hidden="false" customHeight="false" outlineLevel="0" collapsed="false">
      <c r="A207" s="172" t="s">
        <v>244</v>
      </c>
      <c r="B207" s="173" t="s">
        <v>243</v>
      </c>
      <c r="C207" s="173" t="s">
        <v>18</v>
      </c>
      <c r="D207" s="174" t="n">
        <v>1</v>
      </c>
    </row>
    <row r="208" customFormat="false" ht="15.75" hidden="false" customHeight="false" outlineLevel="0" collapsed="false">
      <c r="A208" s="172" t="s">
        <v>540</v>
      </c>
      <c r="B208" s="173" t="s">
        <v>539</v>
      </c>
      <c r="C208" s="173" t="s">
        <v>25</v>
      </c>
      <c r="D208" s="174" t="n">
        <v>1</v>
      </c>
    </row>
    <row r="209" customFormat="false" ht="15.75" hidden="false" customHeight="false" outlineLevel="0" collapsed="false">
      <c r="A209" s="172" t="s">
        <v>1735</v>
      </c>
      <c r="B209" s="173" t="s">
        <v>1734</v>
      </c>
      <c r="C209" s="173" t="s">
        <v>34</v>
      </c>
      <c r="D209" s="174" t="n">
        <v>1</v>
      </c>
    </row>
    <row r="210" customFormat="false" ht="15.75" hidden="false" customHeight="false" outlineLevel="0" collapsed="false">
      <c r="A210" s="172" t="s">
        <v>621</v>
      </c>
      <c r="B210" s="173" t="s">
        <v>620</v>
      </c>
      <c r="C210" s="173" t="s">
        <v>39</v>
      </c>
      <c r="D210" s="174" t="n">
        <v>1</v>
      </c>
    </row>
    <row r="211" customFormat="false" ht="15.75" hidden="false" customHeight="false" outlineLevel="0" collapsed="false">
      <c r="A211" s="172" t="s">
        <v>397</v>
      </c>
      <c r="B211" s="173" t="s">
        <v>396</v>
      </c>
      <c r="C211" s="173" t="s">
        <v>39</v>
      </c>
      <c r="D211" s="174" t="n">
        <v>1</v>
      </c>
    </row>
    <row r="212" customFormat="false" ht="15.75" hidden="false" customHeight="false" outlineLevel="0" collapsed="false">
      <c r="A212" s="172" t="s">
        <v>233</v>
      </c>
      <c r="B212" s="173" t="s">
        <v>232</v>
      </c>
      <c r="C212" s="173" t="s">
        <v>18</v>
      </c>
      <c r="D212" s="174" t="n">
        <v>1</v>
      </c>
    </row>
    <row r="213" customFormat="false" ht="15.75" hidden="false" customHeight="false" outlineLevel="0" collapsed="false">
      <c r="A213" s="172" t="n">
        <v>348275</v>
      </c>
      <c r="B213" s="173" t="s">
        <v>465</v>
      </c>
      <c r="C213" s="173" t="s">
        <v>35</v>
      </c>
      <c r="D213" s="174" t="n">
        <v>1</v>
      </c>
    </row>
    <row r="214" customFormat="false" ht="15.75" hidden="false" customHeight="false" outlineLevel="0" collapsed="false">
      <c r="A214" s="172" t="s">
        <v>884</v>
      </c>
      <c r="B214" s="173" t="s">
        <v>883</v>
      </c>
      <c r="C214" s="173" t="s">
        <v>35</v>
      </c>
      <c r="D214" s="174" t="n">
        <v>1</v>
      </c>
    </row>
    <row r="215" customFormat="false" ht="15.75" hidden="false" customHeight="false" outlineLevel="0" collapsed="false">
      <c r="A215" s="172" t="s">
        <v>908</v>
      </c>
      <c r="B215" s="173" t="s">
        <v>907</v>
      </c>
      <c r="C215" s="173" t="s">
        <v>34</v>
      </c>
      <c r="D215" s="174" t="n">
        <v>1</v>
      </c>
    </row>
    <row r="216" customFormat="false" ht="15.75" hidden="false" customHeight="false" outlineLevel="0" collapsed="false">
      <c r="A216" s="172" t="n">
        <v>360413</v>
      </c>
      <c r="B216" s="173" t="s">
        <v>1703</v>
      </c>
      <c r="C216" s="173" t="s">
        <v>34</v>
      </c>
      <c r="D216" s="174" t="n">
        <v>1</v>
      </c>
    </row>
    <row r="217" customFormat="false" ht="15.75" hidden="false" customHeight="false" outlineLevel="0" collapsed="false">
      <c r="A217" s="172" t="n">
        <v>433226</v>
      </c>
      <c r="B217" s="173" t="s">
        <v>1424</v>
      </c>
      <c r="C217" s="173" t="s">
        <v>36</v>
      </c>
      <c r="D217" s="174" t="n">
        <v>1</v>
      </c>
    </row>
    <row r="218" customFormat="false" ht="15.75" hidden="false" customHeight="false" outlineLevel="0" collapsed="false">
      <c r="A218" s="172" t="n">
        <v>449870</v>
      </c>
      <c r="B218" s="173" t="s">
        <v>920</v>
      </c>
      <c r="C218" s="173" t="s">
        <v>28</v>
      </c>
      <c r="D218" s="174" t="n">
        <v>1</v>
      </c>
    </row>
    <row r="219" customFormat="false" ht="15.75" hidden="false" customHeight="false" outlineLevel="0" collapsed="false">
      <c r="A219" s="172" t="s">
        <v>1230</v>
      </c>
      <c r="B219" s="173" t="s">
        <v>1229</v>
      </c>
      <c r="C219" s="173" t="s">
        <v>39</v>
      </c>
      <c r="D219" s="174" t="n">
        <v>1</v>
      </c>
    </row>
    <row r="220" customFormat="false" ht="15.75" hidden="false" customHeight="false" outlineLevel="0" collapsed="false">
      <c r="A220" s="172" t="s">
        <v>227</v>
      </c>
      <c r="B220" s="173" t="s">
        <v>226</v>
      </c>
      <c r="C220" s="173" t="s">
        <v>22</v>
      </c>
      <c r="D220" s="174" t="n">
        <v>1</v>
      </c>
    </row>
    <row r="221" customFormat="false" ht="15.75" hidden="false" customHeight="false" outlineLevel="0" collapsed="false">
      <c r="A221" s="172" t="s">
        <v>1419</v>
      </c>
      <c r="B221" s="173" t="s">
        <v>1418</v>
      </c>
      <c r="C221" s="173" t="s">
        <v>22</v>
      </c>
      <c r="D221" s="174" t="n">
        <v>1</v>
      </c>
    </row>
    <row r="222" customFormat="false" ht="15.75" hidden="false" customHeight="false" outlineLevel="0" collapsed="false">
      <c r="A222" s="172" t="s">
        <v>1827</v>
      </c>
      <c r="B222" s="173" t="s">
        <v>1826</v>
      </c>
      <c r="C222" s="173" t="s">
        <v>32</v>
      </c>
      <c r="D222" s="174" t="n">
        <v>1</v>
      </c>
    </row>
    <row r="223" customFormat="false" ht="15.75" hidden="false" customHeight="false" outlineLevel="0" collapsed="false">
      <c r="A223" s="172" t="s">
        <v>1415</v>
      </c>
      <c r="B223" s="173" t="s">
        <v>1414</v>
      </c>
      <c r="C223" s="173" t="s">
        <v>22</v>
      </c>
      <c r="D223" s="174" t="n">
        <v>1</v>
      </c>
    </row>
    <row r="224" customFormat="false" ht="15.75" hidden="false" customHeight="false" outlineLevel="0" collapsed="false">
      <c r="A224" s="172" t="s">
        <v>1411</v>
      </c>
      <c r="B224" s="173" t="s">
        <v>1410</v>
      </c>
      <c r="C224" s="173" t="s">
        <v>22</v>
      </c>
      <c r="D224" s="174" t="n">
        <v>1</v>
      </c>
    </row>
    <row r="225" customFormat="false" ht="15.75" hidden="false" customHeight="false" outlineLevel="0" collapsed="false">
      <c r="A225" s="172" t="s">
        <v>1074</v>
      </c>
      <c r="B225" s="173" t="s">
        <v>1073</v>
      </c>
      <c r="C225" s="173" t="s">
        <v>18</v>
      </c>
      <c r="D225" s="174" t="n">
        <v>1</v>
      </c>
    </row>
    <row r="226" customFormat="false" ht="15.75" hidden="false" customHeight="false" outlineLevel="0" collapsed="false">
      <c r="A226" s="172" t="s">
        <v>1574</v>
      </c>
      <c r="B226" s="173" t="s">
        <v>1573</v>
      </c>
      <c r="C226" s="173" t="s">
        <v>18</v>
      </c>
      <c r="D226" s="174" t="n">
        <v>1</v>
      </c>
    </row>
    <row r="227" customFormat="false" ht="15.75" hidden="false" customHeight="false" outlineLevel="0" collapsed="false">
      <c r="A227" s="172" t="s">
        <v>961</v>
      </c>
      <c r="B227" s="173" t="s">
        <v>960</v>
      </c>
      <c r="C227" s="173" t="s">
        <v>34</v>
      </c>
      <c r="D227" s="174" t="n">
        <v>1</v>
      </c>
    </row>
    <row r="228" customFormat="false" ht="15.75" hidden="false" customHeight="false" outlineLevel="0" collapsed="false">
      <c r="A228" s="172" t="s">
        <v>522</v>
      </c>
      <c r="B228" s="173" t="s">
        <v>521</v>
      </c>
      <c r="C228" s="173" t="s">
        <v>34</v>
      </c>
      <c r="D228" s="174" t="n">
        <v>1</v>
      </c>
    </row>
    <row r="229" customFormat="false" ht="15.75" hidden="false" customHeight="false" outlineLevel="0" collapsed="false">
      <c r="A229" s="172" t="s">
        <v>527</v>
      </c>
      <c r="B229" s="173" t="s">
        <v>526</v>
      </c>
      <c r="C229" s="173" t="s">
        <v>25</v>
      </c>
      <c r="D229" s="174" t="n">
        <v>1</v>
      </c>
    </row>
    <row r="230" customFormat="false" ht="15.75" hidden="false" customHeight="false" outlineLevel="0" collapsed="false">
      <c r="A230" s="172" t="s">
        <v>303</v>
      </c>
      <c r="B230" s="173" t="s">
        <v>302</v>
      </c>
      <c r="C230" s="173" t="s">
        <v>35</v>
      </c>
      <c r="D230" s="174" t="n">
        <v>1</v>
      </c>
    </row>
    <row r="231" customFormat="false" ht="15.75" hidden="false" customHeight="false" outlineLevel="0" collapsed="false">
      <c r="A231" s="172" t="s">
        <v>356</v>
      </c>
      <c r="B231" s="173" t="s">
        <v>355</v>
      </c>
      <c r="C231" s="173" t="s">
        <v>39</v>
      </c>
      <c r="D231" s="174" t="n">
        <v>1</v>
      </c>
    </row>
    <row r="232" customFormat="false" ht="15.75" hidden="false" customHeight="false" outlineLevel="0" collapsed="false">
      <c r="A232" s="172" t="s">
        <v>877</v>
      </c>
      <c r="B232" s="173" t="s">
        <v>876</v>
      </c>
      <c r="C232" s="173" t="s">
        <v>20</v>
      </c>
      <c r="D232" s="174" t="n">
        <v>1</v>
      </c>
    </row>
    <row r="233" customFormat="false" ht="15.75" hidden="false" customHeight="false" outlineLevel="0" collapsed="false">
      <c r="A233" s="172" t="s">
        <v>378</v>
      </c>
      <c r="B233" s="173" t="s">
        <v>377</v>
      </c>
      <c r="C233" s="173" t="s">
        <v>39</v>
      </c>
      <c r="D233" s="174" t="n">
        <v>1</v>
      </c>
    </row>
    <row r="234" customFormat="false" ht="15.75" hidden="false" customHeight="false" outlineLevel="0" collapsed="false">
      <c r="A234" s="172" t="s">
        <v>332</v>
      </c>
      <c r="B234" s="173" t="s">
        <v>331</v>
      </c>
      <c r="C234" s="173" t="s">
        <v>39</v>
      </c>
      <c r="D234" s="174" t="n">
        <v>1</v>
      </c>
    </row>
    <row r="235" customFormat="false" ht="15.75" hidden="false" customHeight="false" outlineLevel="0" collapsed="false">
      <c r="A235" s="172" t="s">
        <v>558</v>
      </c>
      <c r="B235" s="173" t="s">
        <v>557</v>
      </c>
      <c r="C235" s="173" t="s">
        <v>22</v>
      </c>
      <c r="D235" s="174" t="n">
        <v>1</v>
      </c>
    </row>
    <row r="236" customFormat="false" ht="15.75" hidden="false" customHeight="false" outlineLevel="0" collapsed="false">
      <c r="A236" s="172" t="s">
        <v>492</v>
      </c>
      <c r="B236" s="173" t="s">
        <v>491</v>
      </c>
      <c r="C236" s="173" t="s">
        <v>22</v>
      </c>
      <c r="D236" s="174" t="n">
        <v>1</v>
      </c>
    </row>
    <row r="237" customFormat="false" ht="15.75" hidden="false" customHeight="false" outlineLevel="0" collapsed="false">
      <c r="A237" s="172" t="s">
        <v>629</v>
      </c>
      <c r="B237" s="173" t="s">
        <v>628</v>
      </c>
      <c r="C237" s="173" t="s">
        <v>39</v>
      </c>
      <c r="D237" s="174" t="n">
        <v>1</v>
      </c>
    </row>
    <row r="238" customFormat="false" ht="15.75" hidden="false" customHeight="false" outlineLevel="0" collapsed="false">
      <c r="A238" s="172" t="s">
        <v>946</v>
      </c>
      <c r="B238" s="173" t="s">
        <v>945</v>
      </c>
      <c r="C238" s="173" t="s">
        <v>34</v>
      </c>
      <c r="D238" s="174" t="n">
        <v>1</v>
      </c>
    </row>
    <row r="239" customFormat="false" ht="15.75" hidden="false" customHeight="false" outlineLevel="0" collapsed="false">
      <c r="A239" s="172" t="s">
        <v>1677</v>
      </c>
      <c r="B239" s="173" t="s">
        <v>1676</v>
      </c>
      <c r="C239" s="173" t="s">
        <v>34</v>
      </c>
      <c r="D239" s="174" t="n">
        <v>1</v>
      </c>
    </row>
    <row r="240" customFormat="false" ht="15.75" hidden="false" customHeight="false" outlineLevel="0" collapsed="false">
      <c r="A240" s="172" t="s">
        <v>1567</v>
      </c>
      <c r="B240" s="173" t="s">
        <v>1566</v>
      </c>
      <c r="C240" s="173" t="s">
        <v>26</v>
      </c>
      <c r="D240" s="174" t="n">
        <v>1</v>
      </c>
    </row>
    <row r="241" customFormat="false" ht="15.75" hidden="false" customHeight="false" outlineLevel="0" collapsed="false">
      <c r="A241" s="172" t="s">
        <v>257</v>
      </c>
      <c r="B241" s="173" t="s">
        <v>256</v>
      </c>
      <c r="C241" s="173" t="s">
        <v>40</v>
      </c>
      <c r="D241" s="174" t="n">
        <v>1</v>
      </c>
    </row>
    <row r="242" customFormat="false" ht="15.75" hidden="false" customHeight="false" outlineLevel="0" collapsed="false">
      <c r="A242" s="172" t="s">
        <v>755</v>
      </c>
      <c r="B242" s="173" t="s">
        <v>754</v>
      </c>
      <c r="C242" s="173" t="s">
        <v>18</v>
      </c>
      <c r="D242" s="174" t="n">
        <v>1</v>
      </c>
    </row>
    <row r="243" customFormat="false" ht="15.75" hidden="false" customHeight="false" outlineLevel="0" collapsed="false">
      <c r="A243" s="172" t="s">
        <v>1475</v>
      </c>
      <c r="B243" s="173" t="s">
        <v>1474</v>
      </c>
      <c r="C243" s="173" t="s">
        <v>40</v>
      </c>
      <c r="D243" s="174" t="n">
        <v>1</v>
      </c>
    </row>
    <row r="244" customFormat="false" ht="15.75" hidden="false" customHeight="false" outlineLevel="0" collapsed="false">
      <c r="A244" s="175" t="s">
        <v>1852</v>
      </c>
      <c r="B244" s="176"/>
      <c r="C244" s="177"/>
      <c r="D244" s="178" t="n">
        <v>156695</v>
      </c>
    </row>
    <row r="245" customFormat="false" ht="15.75" hidden="false" customHeight="false" outlineLevel="0" collapsed="false">
      <c r="B245" s="179"/>
    </row>
    <row r="246" customFormat="false" ht="15.75" hidden="false" customHeight="false" outlineLevel="0" collapsed="false">
      <c r="B246" s="179"/>
    </row>
    <row r="247" customFormat="false" ht="15.75" hidden="false" customHeight="false" outlineLevel="0" collapsed="false">
      <c r="B247" s="179"/>
    </row>
    <row r="248" customFormat="false" ht="15.75" hidden="false" customHeight="false" outlineLevel="0" collapsed="false">
      <c r="B248" s="179"/>
    </row>
    <row r="249" customFormat="false" ht="15.75" hidden="false" customHeight="false" outlineLevel="0" collapsed="false">
      <c r="B249" s="179"/>
    </row>
    <row r="250" customFormat="false" ht="15.75" hidden="false" customHeight="false" outlineLevel="0" collapsed="false">
      <c r="B250" s="179"/>
    </row>
    <row r="251" customFormat="false" ht="15.75" hidden="false" customHeight="false" outlineLevel="0" collapsed="false">
      <c r="B251" s="179"/>
    </row>
    <row r="252" customFormat="false" ht="15.75" hidden="false" customHeight="false" outlineLevel="0" collapsed="false">
      <c r="B252" s="179"/>
    </row>
    <row r="253" customFormat="false" ht="15.75" hidden="false" customHeight="false" outlineLevel="0" collapsed="false">
      <c r="B253" s="179"/>
    </row>
    <row r="254" customFormat="false" ht="15.75" hidden="false" customHeight="false" outlineLevel="0" collapsed="false">
      <c r="B254" s="179"/>
    </row>
    <row r="255" customFormat="false" ht="15.75" hidden="false" customHeight="false" outlineLevel="0" collapsed="false">
      <c r="B255" s="179"/>
    </row>
    <row r="256" customFormat="false" ht="15.75" hidden="false" customHeight="false" outlineLevel="0" collapsed="false">
      <c r="B256" s="179"/>
    </row>
    <row r="257" customFormat="false" ht="15.75" hidden="false" customHeight="false" outlineLevel="0" collapsed="false">
      <c r="B257" s="179"/>
    </row>
    <row r="258" customFormat="false" ht="15.75" hidden="false" customHeight="false" outlineLevel="0" collapsed="false">
      <c r="B258" s="179"/>
    </row>
    <row r="259" customFormat="false" ht="15.75" hidden="false" customHeight="false" outlineLevel="0" collapsed="false">
      <c r="B259" s="179"/>
    </row>
    <row r="260" customFormat="false" ht="15.75" hidden="false" customHeight="false" outlineLevel="0" collapsed="false">
      <c r="B260" s="179"/>
    </row>
    <row r="261" customFormat="false" ht="15.75" hidden="false" customHeight="false" outlineLevel="0" collapsed="false">
      <c r="B261" s="179"/>
    </row>
    <row r="262" customFormat="false" ht="15.75" hidden="false" customHeight="false" outlineLevel="0" collapsed="false">
      <c r="B262" s="179"/>
    </row>
    <row r="263" customFormat="false" ht="15.75" hidden="false" customHeight="false" outlineLevel="0" collapsed="false">
      <c r="B263" s="179"/>
    </row>
    <row r="264" customFormat="false" ht="15.75" hidden="false" customHeight="false" outlineLevel="0" collapsed="false">
      <c r="B264" s="179"/>
    </row>
    <row r="265" customFormat="false" ht="15.75" hidden="false" customHeight="false" outlineLevel="0" collapsed="false">
      <c r="B265" s="179"/>
    </row>
    <row r="266" customFormat="false" ht="15.75" hidden="false" customHeight="false" outlineLevel="0" collapsed="false">
      <c r="B266" s="179"/>
    </row>
    <row r="267" customFormat="false" ht="15.75" hidden="false" customHeight="false" outlineLevel="0" collapsed="false">
      <c r="B267" s="179"/>
    </row>
    <row r="268" customFormat="false" ht="15.75" hidden="false" customHeight="false" outlineLevel="0" collapsed="false">
      <c r="B268" s="179"/>
    </row>
    <row r="269" customFormat="false" ht="15.75" hidden="false" customHeight="false" outlineLevel="0" collapsed="false">
      <c r="B269" s="179"/>
    </row>
    <row r="270" customFormat="false" ht="15.75" hidden="false" customHeight="false" outlineLevel="0" collapsed="false">
      <c r="B270" s="179"/>
    </row>
    <row r="271" customFormat="false" ht="15.75" hidden="false" customHeight="false" outlineLevel="0" collapsed="false">
      <c r="B271" s="179"/>
    </row>
    <row r="272" customFormat="false" ht="15.75" hidden="false" customHeight="false" outlineLevel="0" collapsed="false">
      <c r="B272" s="179"/>
    </row>
    <row r="273" customFormat="false" ht="15.75" hidden="false" customHeight="false" outlineLevel="0" collapsed="false">
      <c r="B273" s="179"/>
    </row>
    <row r="274" customFormat="false" ht="15.75" hidden="false" customHeight="false" outlineLevel="0" collapsed="false">
      <c r="B274" s="179"/>
    </row>
    <row r="275" customFormat="false" ht="15.75" hidden="false" customHeight="false" outlineLevel="0" collapsed="false">
      <c r="B275" s="179"/>
    </row>
    <row r="276" customFormat="false" ht="15.75" hidden="false" customHeight="false" outlineLevel="0" collapsed="false">
      <c r="B276" s="179"/>
    </row>
    <row r="277" customFormat="false" ht="15.75" hidden="false" customHeight="false" outlineLevel="0" collapsed="false">
      <c r="B277" s="179"/>
    </row>
    <row r="278" customFormat="false" ht="15.75" hidden="false" customHeight="false" outlineLevel="0" collapsed="false">
      <c r="B278" s="179"/>
    </row>
    <row r="279" customFormat="false" ht="15.75" hidden="false" customHeight="false" outlineLevel="0" collapsed="false">
      <c r="B279" s="179"/>
    </row>
    <row r="280" customFormat="false" ht="15.75" hidden="false" customHeight="false" outlineLevel="0" collapsed="false">
      <c r="B280" s="179"/>
    </row>
    <row r="281" customFormat="false" ht="15.75" hidden="false" customHeight="false" outlineLevel="0" collapsed="false">
      <c r="B281" s="179"/>
    </row>
    <row r="282" customFormat="false" ht="15.75" hidden="false" customHeight="false" outlineLevel="0" collapsed="false">
      <c r="B282" s="179"/>
    </row>
    <row r="283" customFormat="false" ht="15.75" hidden="false" customHeight="false" outlineLevel="0" collapsed="false">
      <c r="B283" s="179"/>
    </row>
    <row r="284" customFormat="false" ht="15.75" hidden="false" customHeight="false" outlineLevel="0" collapsed="false">
      <c r="B284" s="179"/>
    </row>
    <row r="285" customFormat="false" ht="15.75" hidden="false" customHeight="false" outlineLevel="0" collapsed="false">
      <c r="B285" s="179"/>
    </row>
    <row r="286" customFormat="false" ht="15.75" hidden="false" customHeight="false" outlineLevel="0" collapsed="false">
      <c r="B286" s="179"/>
    </row>
    <row r="287" customFormat="false" ht="15.75" hidden="false" customHeight="false" outlineLevel="0" collapsed="false">
      <c r="B287" s="179"/>
    </row>
    <row r="288" customFormat="false" ht="15.75" hidden="false" customHeight="false" outlineLevel="0" collapsed="false">
      <c r="B288" s="179"/>
    </row>
    <row r="289" customFormat="false" ht="15.75" hidden="false" customHeight="false" outlineLevel="0" collapsed="false">
      <c r="B289" s="179"/>
    </row>
    <row r="290" customFormat="false" ht="15.75" hidden="false" customHeight="false" outlineLevel="0" collapsed="false">
      <c r="B290" s="179"/>
    </row>
    <row r="291" customFormat="false" ht="15.75" hidden="false" customHeight="false" outlineLevel="0" collapsed="false">
      <c r="B291" s="179"/>
    </row>
    <row r="292" customFormat="false" ht="15.75" hidden="false" customHeight="false" outlineLevel="0" collapsed="false">
      <c r="B292" s="179"/>
    </row>
    <row r="293" customFormat="false" ht="15.75" hidden="false" customHeight="false" outlineLevel="0" collapsed="false">
      <c r="B293" s="179"/>
    </row>
    <row r="294" customFormat="false" ht="15.75" hidden="false" customHeight="false" outlineLevel="0" collapsed="false">
      <c r="B294" s="179"/>
    </row>
    <row r="295" customFormat="false" ht="15.75" hidden="false" customHeight="false" outlineLevel="0" collapsed="false">
      <c r="B295" s="179"/>
    </row>
    <row r="296" customFormat="false" ht="15.75" hidden="false" customHeight="false" outlineLevel="0" collapsed="false">
      <c r="B296" s="179"/>
    </row>
    <row r="297" customFormat="false" ht="15.75" hidden="false" customHeight="false" outlineLevel="0" collapsed="false">
      <c r="B297" s="179"/>
    </row>
    <row r="298" customFormat="false" ht="15.75" hidden="false" customHeight="false" outlineLevel="0" collapsed="false">
      <c r="B298" s="179"/>
    </row>
    <row r="299" customFormat="false" ht="15.75" hidden="false" customHeight="false" outlineLevel="0" collapsed="false">
      <c r="B299" s="179"/>
    </row>
    <row r="300" customFormat="false" ht="15.75" hidden="false" customHeight="false" outlineLevel="0" collapsed="false">
      <c r="B300" s="179"/>
    </row>
    <row r="301" customFormat="false" ht="15.75" hidden="false" customHeight="false" outlineLevel="0" collapsed="false">
      <c r="B301" s="179"/>
    </row>
    <row r="302" customFormat="false" ht="15.75" hidden="false" customHeight="false" outlineLevel="0" collapsed="false">
      <c r="B302" s="179"/>
    </row>
    <row r="303" customFormat="false" ht="15.75" hidden="false" customHeight="false" outlineLevel="0" collapsed="false">
      <c r="B303" s="179"/>
    </row>
    <row r="304" customFormat="false" ht="15.75" hidden="false" customHeight="false" outlineLevel="0" collapsed="false">
      <c r="B304" s="179"/>
    </row>
    <row r="305" customFormat="false" ht="15.75" hidden="false" customHeight="false" outlineLevel="0" collapsed="false">
      <c r="B305" s="179"/>
    </row>
    <row r="306" customFormat="false" ht="15.75" hidden="false" customHeight="false" outlineLevel="0" collapsed="false">
      <c r="B306" s="179"/>
    </row>
    <row r="307" customFormat="false" ht="15.75" hidden="false" customHeight="false" outlineLevel="0" collapsed="false">
      <c r="B307" s="179"/>
    </row>
    <row r="308" customFormat="false" ht="15.75" hidden="false" customHeight="false" outlineLevel="0" collapsed="false">
      <c r="B308" s="179"/>
    </row>
    <row r="309" customFormat="false" ht="15.75" hidden="false" customHeight="false" outlineLevel="0" collapsed="false">
      <c r="B309" s="179"/>
    </row>
    <row r="310" customFormat="false" ht="15.75" hidden="false" customHeight="false" outlineLevel="0" collapsed="false">
      <c r="B310" s="179"/>
    </row>
    <row r="311" customFormat="false" ht="15.75" hidden="false" customHeight="false" outlineLevel="0" collapsed="false">
      <c r="B311" s="179"/>
    </row>
    <row r="312" customFormat="false" ht="15.75" hidden="false" customHeight="false" outlineLevel="0" collapsed="false">
      <c r="B312" s="179"/>
    </row>
    <row r="313" customFormat="false" ht="15.75" hidden="false" customHeight="false" outlineLevel="0" collapsed="false">
      <c r="B313" s="179"/>
    </row>
    <row r="314" customFormat="false" ht="15.75" hidden="false" customHeight="false" outlineLevel="0" collapsed="false">
      <c r="B314" s="179"/>
    </row>
    <row r="315" customFormat="false" ht="15.75" hidden="false" customHeight="false" outlineLevel="0" collapsed="false">
      <c r="B315" s="179"/>
    </row>
    <row r="316" customFormat="false" ht="15.75" hidden="false" customHeight="false" outlineLevel="0" collapsed="false">
      <c r="B316" s="179"/>
    </row>
    <row r="317" customFormat="false" ht="15.75" hidden="false" customHeight="false" outlineLevel="0" collapsed="false">
      <c r="B317" s="179"/>
    </row>
    <row r="318" customFormat="false" ht="15.75" hidden="false" customHeight="false" outlineLevel="0" collapsed="false">
      <c r="B318" s="179"/>
    </row>
    <row r="319" customFormat="false" ht="15.75" hidden="false" customHeight="false" outlineLevel="0" collapsed="false">
      <c r="B319" s="179"/>
    </row>
    <row r="320" customFormat="false" ht="15.75" hidden="false" customHeight="false" outlineLevel="0" collapsed="false">
      <c r="B320" s="179"/>
    </row>
    <row r="321" customFormat="false" ht="15.75" hidden="false" customHeight="false" outlineLevel="0" collapsed="false">
      <c r="B321" s="179"/>
    </row>
    <row r="322" customFormat="false" ht="15.75" hidden="false" customHeight="false" outlineLevel="0" collapsed="false">
      <c r="B322" s="179"/>
    </row>
    <row r="323" customFormat="false" ht="15.75" hidden="false" customHeight="false" outlineLevel="0" collapsed="false">
      <c r="B323" s="179"/>
    </row>
    <row r="324" customFormat="false" ht="15.75" hidden="false" customHeight="false" outlineLevel="0" collapsed="false">
      <c r="B324" s="179"/>
    </row>
    <row r="325" customFormat="false" ht="15.75" hidden="false" customHeight="false" outlineLevel="0" collapsed="false">
      <c r="B325" s="179"/>
    </row>
    <row r="326" customFormat="false" ht="15.75" hidden="false" customHeight="false" outlineLevel="0" collapsed="false">
      <c r="B326" s="179"/>
    </row>
    <row r="327" customFormat="false" ht="15.75" hidden="false" customHeight="false" outlineLevel="0" collapsed="false">
      <c r="B327" s="179"/>
    </row>
    <row r="328" customFormat="false" ht="15.75" hidden="false" customHeight="false" outlineLevel="0" collapsed="false">
      <c r="B328" s="179"/>
    </row>
    <row r="329" customFormat="false" ht="15.75" hidden="false" customHeight="false" outlineLevel="0" collapsed="false">
      <c r="B329" s="179"/>
    </row>
    <row r="330" customFormat="false" ht="15.75" hidden="false" customHeight="false" outlineLevel="0" collapsed="false">
      <c r="B330" s="179"/>
    </row>
    <row r="331" customFormat="false" ht="15.75" hidden="false" customHeight="false" outlineLevel="0" collapsed="false">
      <c r="B331" s="179"/>
    </row>
    <row r="332" customFormat="false" ht="15.75" hidden="false" customHeight="false" outlineLevel="0" collapsed="false">
      <c r="B332" s="179"/>
    </row>
    <row r="333" customFormat="false" ht="15.75" hidden="false" customHeight="false" outlineLevel="0" collapsed="false">
      <c r="B333" s="179"/>
    </row>
    <row r="334" customFormat="false" ht="15.75" hidden="false" customHeight="false" outlineLevel="0" collapsed="false">
      <c r="B334" s="179"/>
    </row>
    <row r="335" customFormat="false" ht="15.75" hidden="false" customHeight="false" outlineLevel="0" collapsed="false">
      <c r="B335" s="179"/>
    </row>
    <row r="336" customFormat="false" ht="15.75" hidden="false" customHeight="false" outlineLevel="0" collapsed="false">
      <c r="B336" s="179"/>
    </row>
    <row r="337" customFormat="false" ht="15.75" hidden="false" customHeight="false" outlineLevel="0" collapsed="false">
      <c r="B337" s="179"/>
    </row>
    <row r="338" customFormat="false" ht="15.75" hidden="false" customHeight="false" outlineLevel="0" collapsed="false">
      <c r="B338" s="179"/>
    </row>
    <row r="339" customFormat="false" ht="15.75" hidden="false" customHeight="false" outlineLevel="0" collapsed="false">
      <c r="B339" s="179"/>
    </row>
    <row r="340" customFormat="false" ht="15.75" hidden="false" customHeight="false" outlineLevel="0" collapsed="false">
      <c r="B340" s="179"/>
    </row>
    <row r="341" customFormat="false" ht="15.75" hidden="false" customHeight="false" outlineLevel="0" collapsed="false">
      <c r="B341" s="179"/>
    </row>
    <row r="342" customFormat="false" ht="15.75" hidden="false" customHeight="false" outlineLevel="0" collapsed="false">
      <c r="B342" s="179"/>
    </row>
    <row r="343" customFormat="false" ht="15.75" hidden="false" customHeight="false" outlineLevel="0" collapsed="false">
      <c r="B343" s="179"/>
    </row>
    <row r="344" customFormat="false" ht="15.75" hidden="false" customHeight="false" outlineLevel="0" collapsed="false">
      <c r="B344" s="179"/>
    </row>
    <row r="345" customFormat="false" ht="15.75" hidden="false" customHeight="false" outlineLevel="0" collapsed="false">
      <c r="B345" s="179"/>
    </row>
    <row r="346" customFormat="false" ht="15.75" hidden="false" customHeight="false" outlineLevel="0" collapsed="false">
      <c r="B346" s="179"/>
    </row>
    <row r="347" customFormat="false" ht="15.75" hidden="false" customHeight="false" outlineLevel="0" collapsed="false">
      <c r="B347" s="179"/>
    </row>
    <row r="348" customFormat="false" ht="15.75" hidden="false" customHeight="false" outlineLevel="0" collapsed="false">
      <c r="B348" s="179"/>
    </row>
    <row r="349" customFormat="false" ht="15.75" hidden="false" customHeight="false" outlineLevel="0" collapsed="false">
      <c r="B349" s="179"/>
    </row>
    <row r="350" customFormat="false" ht="15.75" hidden="false" customHeight="false" outlineLevel="0" collapsed="false">
      <c r="B350" s="179"/>
    </row>
    <row r="351" customFormat="false" ht="15.75" hidden="false" customHeight="false" outlineLevel="0" collapsed="false">
      <c r="B351" s="179"/>
    </row>
    <row r="352" customFormat="false" ht="15.75" hidden="false" customHeight="false" outlineLevel="0" collapsed="false">
      <c r="B352" s="179"/>
    </row>
    <row r="353" customFormat="false" ht="15.75" hidden="false" customHeight="false" outlineLevel="0" collapsed="false">
      <c r="B353" s="179"/>
    </row>
    <row r="354" customFormat="false" ht="15.75" hidden="false" customHeight="false" outlineLevel="0" collapsed="false">
      <c r="B354" s="179"/>
    </row>
    <row r="355" customFormat="false" ht="15.75" hidden="false" customHeight="false" outlineLevel="0" collapsed="false">
      <c r="B355" s="179"/>
    </row>
    <row r="356" customFormat="false" ht="15.75" hidden="false" customHeight="false" outlineLevel="0" collapsed="false">
      <c r="B356" s="179"/>
    </row>
    <row r="357" customFormat="false" ht="15.75" hidden="false" customHeight="false" outlineLevel="0" collapsed="false">
      <c r="B357" s="179"/>
    </row>
    <row r="358" customFormat="false" ht="15.75" hidden="false" customHeight="false" outlineLevel="0" collapsed="false">
      <c r="B358" s="179"/>
    </row>
    <row r="359" customFormat="false" ht="15.75" hidden="false" customHeight="false" outlineLevel="0" collapsed="false">
      <c r="B359" s="179"/>
    </row>
    <row r="360" customFormat="false" ht="15.75" hidden="false" customHeight="false" outlineLevel="0" collapsed="false">
      <c r="B360" s="179"/>
    </row>
    <row r="361" customFormat="false" ht="15.75" hidden="false" customHeight="false" outlineLevel="0" collapsed="false">
      <c r="B361" s="179"/>
    </row>
    <row r="362" customFormat="false" ht="15.75" hidden="false" customHeight="false" outlineLevel="0" collapsed="false">
      <c r="B362" s="179"/>
    </row>
    <row r="363" customFormat="false" ht="15.75" hidden="false" customHeight="false" outlineLevel="0" collapsed="false">
      <c r="B363" s="179"/>
    </row>
    <row r="364" customFormat="false" ht="15.75" hidden="false" customHeight="false" outlineLevel="0" collapsed="false">
      <c r="B364" s="179"/>
    </row>
    <row r="365" customFormat="false" ht="15.75" hidden="false" customHeight="false" outlineLevel="0" collapsed="false">
      <c r="B365" s="179"/>
    </row>
    <row r="366" customFormat="false" ht="15.75" hidden="false" customHeight="false" outlineLevel="0" collapsed="false">
      <c r="B366" s="179"/>
    </row>
    <row r="367" customFormat="false" ht="15.75" hidden="false" customHeight="false" outlineLevel="0" collapsed="false">
      <c r="B367" s="179"/>
    </row>
    <row r="368" customFormat="false" ht="15.75" hidden="false" customHeight="false" outlineLevel="0" collapsed="false">
      <c r="B368" s="179"/>
    </row>
    <row r="369" customFormat="false" ht="15.75" hidden="false" customHeight="false" outlineLevel="0" collapsed="false">
      <c r="B369" s="179"/>
    </row>
    <row r="370" customFormat="false" ht="15.75" hidden="false" customHeight="false" outlineLevel="0" collapsed="false">
      <c r="B370" s="179"/>
    </row>
    <row r="371" customFormat="false" ht="15.75" hidden="false" customHeight="false" outlineLevel="0" collapsed="false">
      <c r="B371" s="179"/>
    </row>
    <row r="372" customFormat="false" ht="15.75" hidden="false" customHeight="false" outlineLevel="0" collapsed="false">
      <c r="B372" s="179"/>
    </row>
    <row r="373" customFormat="false" ht="15.75" hidden="false" customHeight="false" outlineLevel="0" collapsed="false">
      <c r="B373" s="179"/>
    </row>
    <row r="374" customFormat="false" ht="15.75" hidden="false" customHeight="false" outlineLevel="0" collapsed="false">
      <c r="B374" s="179"/>
    </row>
    <row r="375" customFormat="false" ht="15.75" hidden="false" customHeight="false" outlineLevel="0" collapsed="false">
      <c r="B375" s="179"/>
    </row>
    <row r="376" customFormat="false" ht="15.75" hidden="false" customHeight="false" outlineLevel="0" collapsed="false">
      <c r="B376" s="179"/>
    </row>
    <row r="377" customFormat="false" ht="15.75" hidden="false" customHeight="false" outlineLevel="0" collapsed="false">
      <c r="B377" s="179"/>
    </row>
    <row r="378" customFormat="false" ht="15.75" hidden="false" customHeight="false" outlineLevel="0" collapsed="false">
      <c r="B378" s="179"/>
    </row>
    <row r="379" customFormat="false" ht="15.75" hidden="false" customHeight="false" outlineLevel="0" collapsed="false">
      <c r="B379" s="179"/>
    </row>
    <row r="380" customFormat="false" ht="15.75" hidden="false" customHeight="false" outlineLevel="0" collapsed="false">
      <c r="B380" s="179"/>
    </row>
    <row r="381" customFormat="false" ht="15.75" hidden="false" customHeight="false" outlineLevel="0" collapsed="false">
      <c r="B381" s="179"/>
    </row>
    <row r="382" customFormat="false" ht="15.75" hidden="false" customHeight="false" outlineLevel="0" collapsed="false">
      <c r="B382" s="179"/>
    </row>
    <row r="383" customFormat="false" ht="15.75" hidden="false" customHeight="false" outlineLevel="0" collapsed="false">
      <c r="B383" s="179"/>
    </row>
    <row r="384" customFormat="false" ht="15.75" hidden="false" customHeight="false" outlineLevel="0" collapsed="false">
      <c r="B384" s="179"/>
    </row>
    <row r="385" customFormat="false" ht="15.75" hidden="false" customHeight="false" outlineLevel="0" collapsed="false">
      <c r="B385" s="179"/>
    </row>
    <row r="386" customFormat="false" ht="15.75" hidden="false" customHeight="false" outlineLevel="0" collapsed="false">
      <c r="B386" s="179"/>
    </row>
    <row r="387" customFormat="false" ht="15.75" hidden="false" customHeight="false" outlineLevel="0" collapsed="false">
      <c r="B387" s="179"/>
    </row>
    <row r="388" customFormat="false" ht="15.75" hidden="false" customHeight="false" outlineLevel="0" collapsed="false">
      <c r="B388" s="179"/>
    </row>
    <row r="389" customFormat="false" ht="15.75" hidden="false" customHeight="false" outlineLevel="0" collapsed="false">
      <c r="B389" s="179"/>
    </row>
    <row r="390" customFormat="false" ht="15.75" hidden="false" customHeight="false" outlineLevel="0" collapsed="false">
      <c r="B390" s="179"/>
    </row>
    <row r="391" customFormat="false" ht="15.75" hidden="false" customHeight="false" outlineLevel="0" collapsed="false">
      <c r="B391" s="179"/>
    </row>
    <row r="392" customFormat="false" ht="15.75" hidden="false" customHeight="false" outlineLevel="0" collapsed="false">
      <c r="B392" s="179"/>
    </row>
    <row r="393" customFormat="false" ht="15.75" hidden="false" customHeight="false" outlineLevel="0" collapsed="false">
      <c r="B393" s="179"/>
    </row>
    <row r="394" customFormat="false" ht="15.75" hidden="false" customHeight="false" outlineLevel="0" collapsed="false">
      <c r="B394" s="179"/>
    </row>
    <row r="395" customFormat="false" ht="15.75" hidden="false" customHeight="false" outlineLevel="0" collapsed="false">
      <c r="B395" s="179"/>
    </row>
    <row r="396" customFormat="false" ht="15.75" hidden="false" customHeight="false" outlineLevel="0" collapsed="false">
      <c r="B396" s="179"/>
    </row>
    <row r="397" customFormat="false" ht="15.75" hidden="false" customHeight="false" outlineLevel="0" collapsed="false">
      <c r="B397" s="179"/>
    </row>
    <row r="398" customFormat="false" ht="15.75" hidden="false" customHeight="false" outlineLevel="0" collapsed="false">
      <c r="B398" s="179"/>
    </row>
    <row r="399" customFormat="false" ht="15.75" hidden="false" customHeight="false" outlineLevel="0" collapsed="false">
      <c r="B399" s="179"/>
    </row>
    <row r="400" customFormat="false" ht="15.75" hidden="false" customHeight="false" outlineLevel="0" collapsed="false">
      <c r="B400" s="179"/>
    </row>
    <row r="401" customFormat="false" ht="15.75" hidden="false" customHeight="false" outlineLevel="0" collapsed="false">
      <c r="B401" s="179"/>
    </row>
    <row r="402" customFormat="false" ht="15.75" hidden="false" customHeight="false" outlineLevel="0" collapsed="false">
      <c r="B402" s="179"/>
    </row>
    <row r="403" customFormat="false" ht="15.75" hidden="false" customHeight="false" outlineLevel="0" collapsed="false">
      <c r="B403" s="179"/>
    </row>
    <row r="404" customFormat="false" ht="15.75" hidden="false" customHeight="false" outlineLevel="0" collapsed="false">
      <c r="B404" s="179"/>
    </row>
    <row r="405" customFormat="false" ht="15.75" hidden="false" customHeight="false" outlineLevel="0" collapsed="false">
      <c r="B405" s="179"/>
    </row>
    <row r="406" customFormat="false" ht="15.75" hidden="false" customHeight="false" outlineLevel="0" collapsed="false">
      <c r="B406" s="179"/>
    </row>
    <row r="407" customFormat="false" ht="15.75" hidden="false" customHeight="false" outlineLevel="0" collapsed="false">
      <c r="B407" s="179"/>
    </row>
    <row r="408" customFormat="false" ht="15.75" hidden="false" customHeight="false" outlineLevel="0" collapsed="false">
      <c r="B408" s="179"/>
    </row>
    <row r="409" customFormat="false" ht="15.75" hidden="false" customHeight="false" outlineLevel="0" collapsed="false">
      <c r="B409" s="179"/>
    </row>
    <row r="410" customFormat="false" ht="15.75" hidden="false" customHeight="false" outlineLevel="0" collapsed="false">
      <c r="B410" s="179"/>
    </row>
    <row r="411" customFormat="false" ht="15.75" hidden="false" customHeight="false" outlineLevel="0" collapsed="false">
      <c r="B411" s="179"/>
    </row>
    <row r="412" customFormat="false" ht="15.75" hidden="false" customHeight="false" outlineLevel="0" collapsed="false">
      <c r="B412" s="179"/>
    </row>
    <row r="413" customFormat="false" ht="15.75" hidden="false" customHeight="false" outlineLevel="0" collapsed="false">
      <c r="B413" s="179"/>
    </row>
    <row r="414" customFormat="false" ht="15.75" hidden="false" customHeight="false" outlineLevel="0" collapsed="false">
      <c r="B414" s="179"/>
    </row>
    <row r="415" customFormat="false" ht="15.75" hidden="false" customHeight="false" outlineLevel="0" collapsed="false">
      <c r="B415" s="179"/>
    </row>
    <row r="416" customFormat="false" ht="15.75" hidden="false" customHeight="false" outlineLevel="0" collapsed="false">
      <c r="B416" s="179"/>
    </row>
    <row r="417" customFormat="false" ht="15.75" hidden="false" customHeight="false" outlineLevel="0" collapsed="false">
      <c r="B417" s="179"/>
    </row>
    <row r="418" customFormat="false" ht="15.75" hidden="false" customHeight="false" outlineLevel="0" collapsed="false">
      <c r="B418" s="179"/>
    </row>
    <row r="419" customFormat="false" ht="15.75" hidden="false" customHeight="false" outlineLevel="0" collapsed="false">
      <c r="B419" s="179"/>
    </row>
    <row r="420" customFormat="false" ht="15.75" hidden="false" customHeight="false" outlineLevel="0" collapsed="false">
      <c r="B420" s="179"/>
    </row>
    <row r="421" customFormat="false" ht="15.75" hidden="false" customHeight="false" outlineLevel="0" collapsed="false">
      <c r="B421" s="179"/>
    </row>
    <row r="422" customFormat="false" ht="15.75" hidden="false" customHeight="false" outlineLevel="0" collapsed="false">
      <c r="B422" s="179"/>
    </row>
    <row r="423" customFormat="false" ht="15.75" hidden="false" customHeight="false" outlineLevel="0" collapsed="false">
      <c r="B423" s="179"/>
    </row>
    <row r="424" customFormat="false" ht="15.75" hidden="false" customHeight="false" outlineLevel="0" collapsed="false">
      <c r="B424" s="179"/>
    </row>
    <row r="425" customFormat="false" ht="15.75" hidden="false" customHeight="false" outlineLevel="0" collapsed="false">
      <c r="B425" s="179"/>
    </row>
    <row r="426" customFormat="false" ht="15.75" hidden="false" customHeight="false" outlineLevel="0" collapsed="false">
      <c r="B426" s="179"/>
    </row>
    <row r="427" customFormat="false" ht="15.75" hidden="false" customHeight="false" outlineLevel="0" collapsed="false">
      <c r="B427" s="179"/>
    </row>
    <row r="428" customFormat="false" ht="15.75" hidden="false" customHeight="false" outlineLevel="0" collapsed="false">
      <c r="B428" s="179"/>
    </row>
    <row r="429" customFormat="false" ht="15.75" hidden="false" customHeight="false" outlineLevel="0" collapsed="false">
      <c r="B429" s="179"/>
    </row>
    <row r="430" customFormat="false" ht="15.75" hidden="false" customHeight="false" outlineLevel="0" collapsed="false">
      <c r="B430" s="179"/>
    </row>
    <row r="431" customFormat="false" ht="15.75" hidden="false" customHeight="false" outlineLevel="0" collapsed="false">
      <c r="B431" s="179"/>
    </row>
    <row r="432" customFormat="false" ht="15.75" hidden="false" customHeight="false" outlineLevel="0" collapsed="false">
      <c r="B432" s="179"/>
    </row>
    <row r="433" customFormat="false" ht="15.75" hidden="false" customHeight="false" outlineLevel="0" collapsed="false">
      <c r="B433" s="179"/>
    </row>
    <row r="434" customFormat="false" ht="15.75" hidden="false" customHeight="false" outlineLevel="0" collapsed="false">
      <c r="B434" s="179"/>
    </row>
    <row r="435" customFormat="false" ht="15.75" hidden="false" customHeight="false" outlineLevel="0" collapsed="false">
      <c r="B435" s="179"/>
    </row>
    <row r="436" customFormat="false" ht="15.75" hidden="false" customHeight="false" outlineLevel="0" collapsed="false">
      <c r="B436" s="179"/>
    </row>
    <row r="437" customFormat="false" ht="15.75" hidden="false" customHeight="false" outlineLevel="0" collapsed="false">
      <c r="B437" s="179"/>
    </row>
    <row r="438" customFormat="false" ht="15.75" hidden="false" customHeight="false" outlineLevel="0" collapsed="false">
      <c r="B438" s="179"/>
    </row>
    <row r="439" customFormat="false" ht="15.75" hidden="false" customHeight="false" outlineLevel="0" collapsed="false">
      <c r="B439" s="179"/>
    </row>
    <row r="440" customFormat="false" ht="15.75" hidden="false" customHeight="false" outlineLevel="0" collapsed="false">
      <c r="B440" s="179"/>
    </row>
    <row r="441" customFormat="false" ht="15.75" hidden="false" customHeight="false" outlineLevel="0" collapsed="false">
      <c r="B441" s="179"/>
    </row>
    <row r="442" customFormat="false" ht="15.75" hidden="false" customHeight="false" outlineLevel="0" collapsed="false">
      <c r="B442" s="179"/>
    </row>
    <row r="443" customFormat="false" ht="15.75" hidden="false" customHeight="false" outlineLevel="0" collapsed="false">
      <c r="B443" s="179"/>
    </row>
    <row r="444" customFormat="false" ht="15.75" hidden="false" customHeight="false" outlineLevel="0" collapsed="false">
      <c r="B444" s="179"/>
    </row>
    <row r="445" customFormat="false" ht="15.75" hidden="false" customHeight="false" outlineLevel="0" collapsed="false">
      <c r="B445" s="179"/>
    </row>
    <row r="446" customFormat="false" ht="15.75" hidden="false" customHeight="false" outlineLevel="0" collapsed="false">
      <c r="B446" s="179"/>
    </row>
    <row r="447" customFormat="false" ht="15.75" hidden="false" customHeight="false" outlineLevel="0" collapsed="false">
      <c r="B447" s="179"/>
    </row>
    <row r="448" customFormat="false" ht="15.75" hidden="false" customHeight="false" outlineLevel="0" collapsed="false">
      <c r="B448" s="179"/>
    </row>
    <row r="449" customFormat="false" ht="15.75" hidden="false" customHeight="false" outlineLevel="0" collapsed="false">
      <c r="B449" s="179"/>
    </row>
    <row r="450" customFormat="false" ht="15.75" hidden="false" customHeight="false" outlineLevel="0" collapsed="false">
      <c r="B450" s="179"/>
    </row>
    <row r="451" customFormat="false" ht="15.75" hidden="false" customHeight="false" outlineLevel="0" collapsed="false">
      <c r="B451" s="179"/>
    </row>
    <row r="452" customFormat="false" ht="15.75" hidden="false" customHeight="false" outlineLevel="0" collapsed="false">
      <c r="B452" s="179"/>
    </row>
    <row r="453" customFormat="false" ht="15.75" hidden="false" customHeight="false" outlineLevel="0" collapsed="false">
      <c r="B453" s="179"/>
    </row>
    <row r="454" customFormat="false" ht="15.75" hidden="false" customHeight="false" outlineLevel="0" collapsed="false">
      <c r="B454" s="179"/>
    </row>
    <row r="455" customFormat="false" ht="15.75" hidden="false" customHeight="false" outlineLevel="0" collapsed="false">
      <c r="B455" s="179"/>
    </row>
    <row r="456" customFormat="false" ht="15.75" hidden="false" customHeight="false" outlineLevel="0" collapsed="false">
      <c r="B456" s="179"/>
    </row>
    <row r="457" customFormat="false" ht="15.75" hidden="false" customHeight="false" outlineLevel="0" collapsed="false">
      <c r="B457" s="179"/>
    </row>
    <row r="458" customFormat="false" ht="15.75" hidden="false" customHeight="false" outlineLevel="0" collapsed="false">
      <c r="B458" s="179"/>
    </row>
    <row r="459" customFormat="false" ht="15.75" hidden="false" customHeight="false" outlineLevel="0" collapsed="false">
      <c r="B459" s="179"/>
    </row>
    <row r="460" customFormat="false" ht="15.75" hidden="false" customHeight="false" outlineLevel="0" collapsed="false">
      <c r="B460" s="179"/>
    </row>
    <row r="461" customFormat="false" ht="15.75" hidden="false" customHeight="false" outlineLevel="0" collapsed="false">
      <c r="B461" s="179"/>
    </row>
    <row r="462" customFormat="false" ht="15.75" hidden="false" customHeight="false" outlineLevel="0" collapsed="false">
      <c r="B462" s="179"/>
    </row>
    <row r="463" customFormat="false" ht="15.75" hidden="false" customHeight="false" outlineLevel="0" collapsed="false">
      <c r="B463" s="179"/>
    </row>
    <row r="464" customFormat="false" ht="15.75" hidden="false" customHeight="false" outlineLevel="0" collapsed="false">
      <c r="B464" s="179"/>
    </row>
    <row r="465" customFormat="false" ht="15.75" hidden="false" customHeight="false" outlineLevel="0" collapsed="false">
      <c r="B465" s="179"/>
    </row>
    <row r="466" customFormat="false" ht="15.75" hidden="false" customHeight="false" outlineLevel="0" collapsed="false">
      <c r="B466" s="179"/>
    </row>
    <row r="467" customFormat="false" ht="15.75" hidden="false" customHeight="false" outlineLevel="0" collapsed="false">
      <c r="B467" s="179"/>
    </row>
    <row r="468" customFormat="false" ht="15.75" hidden="false" customHeight="false" outlineLevel="0" collapsed="false">
      <c r="B468" s="179"/>
    </row>
    <row r="469" customFormat="false" ht="15.75" hidden="false" customHeight="false" outlineLevel="0" collapsed="false">
      <c r="B469" s="179"/>
    </row>
    <row r="470" customFormat="false" ht="15.75" hidden="false" customHeight="false" outlineLevel="0" collapsed="false">
      <c r="B470" s="179"/>
    </row>
    <row r="471" customFormat="false" ht="15.75" hidden="false" customHeight="false" outlineLevel="0" collapsed="false">
      <c r="B471" s="179"/>
    </row>
    <row r="472" customFormat="false" ht="15.75" hidden="false" customHeight="false" outlineLevel="0" collapsed="false">
      <c r="B472" s="179"/>
    </row>
    <row r="473" customFormat="false" ht="15.75" hidden="false" customHeight="false" outlineLevel="0" collapsed="false">
      <c r="B473" s="179"/>
    </row>
    <row r="474" customFormat="false" ht="15.75" hidden="false" customHeight="false" outlineLevel="0" collapsed="false">
      <c r="B474" s="179"/>
    </row>
    <row r="475" customFormat="false" ht="15.75" hidden="false" customHeight="false" outlineLevel="0" collapsed="false">
      <c r="B475" s="179"/>
    </row>
    <row r="476" customFormat="false" ht="15.75" hidden="false" customHeight="false" outlineLevel="0" collapsed="false">
      <c r="B476" s="179"/>
    </row>
    <row r="477" customFormat="false" ht="15.75" hidden="false" customHeight="false" outlineLevel="0" collapsed="false">
      <c r="B477" s="179"/>
    </row>
    <row r="478" customFormat="false" ht="15.75" hidden="false" customHeight="false" outlineLevel="0" collapsed="false">
      <c r="B478" s="179"/>
    </row>
    <row r="479" customFormat="false" ht="15.75" hidden="false" customHeight="false" outlineLevel="0" collapsed="false">
      <c r="B479" s="179"/>
    </row>
    <row r="480" customFormat="false" ht="15.75" hidden="false" customHeight="false" outlineLevel="0" collapsed="false">
      <c r="B480" s="179"/>
    </row>
    <row r="481" customFormat="false" ht="15.75" hidden="false" customHeight="false" outlineLevel="0" collapsed="false">
      <c r="B481" s="179"/>
    </row>
    <row r="482" customFormat="false" ht="15.75" hidden="false" customHeight="false" outlineLevel="0" collapsed="false">
      <c r="B482" s="179"/>
    </row>
    <row r="483" customFormat="false" ht="15.75" hidden="false" customHeight="false" outlineLevel="0" collapsed="false">
      <c r="B483" s="179"/>
    </row>
    <row r="484" customFormat="false" ht="15.75" hidden="false" customHeight="false" outlineLevel="0" collapsed="false">
      <c r="B484" s="179"/>
    </row>
    <row r="485" customFormat="false" ht="15.75" hidden="false" customHeight="false" outlineLevel="0" collapsed="false">
      <c r="B485" s="179"/>
    </row>
    <row r="486" customFormat="false" ht="15.75" hidden="false" customHeight="false" outlineLevel="0" collapsed="false">
      <c r="B486" s="179"/>
    </row>
    <row r="487" customFormat="false" ht="15.75" hidden="false" customHeight="false" outlineLevel="0" collapsed="false">
      <c r="B487" s="179"/>
    </row>
    <row r="488" customFormat="false" ht="15.75" hidden="false" customHeight="false" outlineLevel="0" collapsed="false">
      <c r="B488" s="179"/>
    </row>
    <row r="489" customFormat="false" ht="15.75" hidden="false" customHeight="false" outlineLevel="0" collapsed="false">
      <c r="B489" s="179"/>
    </row>
    <row r="490" customFormat="false" ht="15.75" hidden="false" customHeight="false" outlineLevel="0" collapsed="false">
      <c r="B490" s="179"/>
    </row>
    <row r="491" customFormat="false" ht="15.75" hidden="false" customHeight="false" outlineLevel="0" collapsed="false">
      <c r="B491" s="179"/>
    </row>
    <row r="492" customFormat="false" ht="15.75" hidden="false" customHeight="false" outlineLevel="0" collapsed="false">
      <c r="B492" s="179"/>
    </row>
    <row r="493" customFormat="false" ht="15.75" hidden="false" customHeight="false" outlineLevel="0" collapsed="false">
      <c r="B493" s="179"/>
    </row>
    <row r="494" customFormat="false" ht="15.75" hidden="false" customHeight="false" outlineLevel="0" collapsed="false">
      <c r="B494" s="179"/>
    </row>
    <row r="495" customFormat="false" ht="15.75" hidden="false" customHeight="false" outlineLevel="0" collapsed="false">
      <c r="B495" s="179"/>
    </row>
    <row r="496" customFormat="false" ht="15.75" hidden="false" customHeight="false" outlineLevel="0" collapsed="false">
      <c r="B496" s="179"/>
    </row>
    <row r="497" customFormat="false" ht="15.75" hidden="false" customHeight="false" outlineLevel="0" collapsed="false">
      <c r="B497" s="179"/>
    </row>
    <row r="498" customFormat="false" ht="15.75" hidden="false" customHeight="false" outlineLevel="0" collapsed="false">
      <c r="B498" s="179"/>
    </row>
    <row r="499" customFormat="false" ht="15.75" hidden="false" customHeight="false" outlineLevel="0" collapsed="false">
      <c r="B499" s="179"/>
    </row>
    <row r="500" customFormat="false" ht="15.75" hidden="false" customHeight="false" outlineLevel="0" collapsed="false">
      <c r="B500" s="179"/>
    </row>
    <row r="501" customFormat="false" ht="15.75" hidden="false" customHeight="false" outlineLevel="0" collapsed="false">
      <c r="B501" s="179"/>
    </row>
    <row r="502" customFormat="false" ht="15.75" hidden="false" customHeight="false" outlineLevel="0" collapsed="false">
      <c r="B502" s="179"/>
    </row>
    <row r="503" customFormat="false" ht="15.75" hidden="false" customHeight="false" outlineLevel="0" collapsed="false">
      <c r="B503" s="179"/>
    </row>
    <row r="504" customFormat="false" ht="15.75" hidden="false" customHeight="false" outlineLevel="0" collapsed="false">
      <c r="B504" s="179"/>
    </row>
    <row r="505" customFormat="false" ht="15.75" hidden="false" customHeight="false" outlineLevel="0" collapsed="false">
      <c r="B505" s="179"/>
    </row>
    <row r="506" customFormat="false" ht="15.75" hidden="false" customHeight="false" outlineLevel="0" collapsed="false">
      <c r="B506" s="179"/>
    </row>
    <row r="507" customFormat="false" ht="15.75" hidden="false" customHeight="false" outlineLevel="0" collapsed="false">
      <c r="B507" s="179"/>
    </row>
    <row r="508" customFormat="false" ht="15.75" hidden="false" customHeight="false" outlineLevel="0" collapsed="false">
      <c r="B508" s="179"/>
    </row>
    <row r="509" customFormat="false" ht="15.75" hidden="false" customHeight="false" outlineLevel="0" collapsed="false">
      <c r="B509" s="179"/>
    </row>
    <row r="510" customFormat="false" ht="15.75" hidden="false" customHeight="false" outlineLevel="0" collapsed="false">
      <c r="B510" s="179"/>
    </row>
    <row r="511" customFormat="false" ht="15.75" hidden="false" customHeight="false" outlineLevel="0" collapsed="false">
      <c r="B511" s="179"/>
    </row>
    <row r="512" customFormat="false" ht="15.75" hidden="false" customHeight="false" outlineLevel="0" collapsed="false">
      <c r="B512" s="179"/>
    </row>
    <row r="513" customFormat="false" ht="15.75" hidden="false" customHeight="false" outlineLevel="0" collapsed="false">
      <c r="B513" s="179"/>
    </row>
    <row r="514" customFormat="false" ht="15.75" hidden="false" customHeight="false" outlineLevel="0" collapsed="false">
      <c r="B514" s="179"/>
    </row>
    <row r="515" customFormat="false" ht="15.75" hidden="false" customHeight="false" outlineLevel="0" collapsed="false">
      <c r="B515" s="179"/>
    </row>
    <row r="516" customFormat="false" ht="15.75" hidden="false" customHeight="false" outlineLevel="0" collapsed="false">
      <c r="B516" s="179"/>
    </row>
    <row r="517" customFormat="false" ht="15.75" hidden="false" customHeight="false" outlineLevel="0" collapsed="false">
      <c r="B517" s="179"/>
    </row>
    <row r="518" customFormat="false" ht="15.75" hidden="false" customHeight="false" outlineLevel="0" collapsed="false">
      <c r="B518" s="179"/>
    </row>
    <row r="519" customFormat="false" ht="15.75" hidden="false" customHeight="false" outlineLevel="0" collapsed="false">
      <c r="B519" s="179"/>
    </row>
    <row r="520" customFormat="false" ht="15.75" hidden="false" customHeight="false" outlineLevel="0" collapsed="false">
      <c r="B520" s="179"/>
    </row>
    <row r="521" customFormat="false" ht="15.75" hidden="false" customHeight="false" outlineLevel="0" collapsed="false">
      <c r="B521" s="179"/>
    </row>
    <row r="522" customFormat="false" ht="15.75" hidden="false" customHeight="false" outlineLevel="0" collapsed="false">
      <c r="B522" s="179"/>
    </row>
    <row r="523" customFormat="false" ht="15.75" hidden="false" customHeight="false" outlineLevel="0" collapsed="false">
      <c r="B523" s="179"/>
    </row>
    <row r="524" customFormat="false" ht="15.75" hidden="false" customHeight="false" outlineLevel="0" collapsed="false">
      <c r="B524" s="179"/>
    </row>
    <row r="525" customFormat="false" ht="15.75" hidden="false" customHeight="false" outlineLevel="0" collapsed="false">
      <c r="B525" s="179"/>
    </row>
    <row r="526" customFormat="false" ht="15.75" hidden="false" customHeight="false" outlineLevel="0" collapsed="false">
      <c r="B526" s="179"/>
    </row>
    <row r="527" customFormat="false" ht="15.75" hidden="false" customHeight="false" outlineLevel="0" collapsed="false">
      <c r="B527" s="179"/>
    </row>
    <row r="528" customFormat="false" ht="15.75" hidden="false" customHeight="false" outlineLevel="0" collapsed="false">
      <c r="B528" s="179"/>
    </row>
    <row r="529" customFormat="false" ht="15.75" hidden="false" customHeight="false" outlineLevel="0" collapsed="false">
      <c r="B529" s="179"/>
    </row>
    <row r="530" customFormat="false" ht="15.75" hidden="false" customHeight="false" outlineLevel="0" collapsed="false">
      <c r="B530" s="179"/>
    </row>
    <row r="531" customFormat="false" ht="15.75" hidden="false" customHeight="false" outlineLevel="0" collapsed="false">
      <c r="B531" s="179"/>
    </row>
    <row r="532" customFormat="false" ht="15.75" hidden="false" customHeight="false" outlineLevel="0" collapsed="false">
      <c r="B532" s="179"/>
    </row>
    <row r="533" customFormat="false" ht="15.75" hidden="false" customHeight="false" outlineLevel="0" collapsed="false">
      <c r="B533" s="179"/>
    </row>
    <row r="534" customFormat="false" ht="15.75" hidden="false" customHeight="false" outlineLevel="0" collapsed="false">
      <c r="B534" s="179"/>
    </row>
    <row r="535" customFormat="false" ht="15.75" hidden="false" customHeight="false" outlineLevel="0" collapsed="false">
      <c r="B535" s="179"/>
    </row>
    <row r="536" customFormat="false" ht="15.75" hidden="false" customHeight="false" outlineLevel="0" collapsed="false">
      <c r="B536" s="179"/>
    </row>
    <row r="537" customFormat="false" ht="15.75" hidden="false" customHeight="false" outlineLevel="0" collapsed="false">
      <c r="B537" s="179"/>
    </row>
    <row r="538" customFormat="false" ht="15.75" hidden="false" customHeight="false" outlineLevel="0" collapsed="false">
      <c r="B538" s="179"/>
    </row>
    <row r="539" customFormat="false" ht="15.75" hidden="false" customHeight="false" outlineLevel="0" collapsed="false">
      <c r="B539" s="179"/>
    </row>
    <row r="540" customFormat="false" ht="15.75" hidden="false" customHeight="false" outlineLevel="0" collapsed="false">
      <c r="B540" s="179"/>
    </row>
    <row r="541" customFormat="false" ht="15.75" hidden="false" customHeight="false" outlineLevel="0" collapsed="false">
      <c r="B541" s="179"/>
    </row>
    <row r="542" customFormat="false" ht="15.75" hidden="false" customHeight="false" outlineLevel="0" collapsed="false">
      <c r="B542" s="179"/>
    </row>
    <row r="543" customFormat="false" ht="15.75" hidden="false" customHeight="false" outlineLevel="0" collapsed="false">
      <c r="B543" s="179"/>
    </row>
    <row r="544" customFormat="false" ht="15.75" hidden="false" customHeight="false" outlineLevel="0" collapsed="false">
      <c r="B544" s="179"/>
    </row>
    <row r="545" customFormat="false" ht="15.75" hidden="false" customHeight="false" outlineLevel="0" collapsed="false">
      <c r="B545" s="179"/>
    </row>
    <row r="546" customFormat="false" ht="15.75" hidden="false" customHeight="false" outlineLevel="0" collapsed="false">
      <c r="B546" s="179"/>
    </row>
    <row r="547" customFormat="false" ht="15.75" hidden="false" customHeight="false" outlineLevel="0" collapsed="false">
      <c r="B547" s="179"/>
    </row>
    <row r="548" customFormat="false" ht="15.75" hidden="false" customHeight="false" outlineLevel="0" collapsed="false">
      <c r="B548" s="179"/>
    </row>
    <row r="549" customFormat="false" ht="15.75" hidden="false" customHeight="false" outlineLevel="0" collapsed="false">
      <c r="B549" s="179"/>
    </row>
    <row r="550" customFormat="false" ht="15.75" hidden="false" customHeight="false" outlineLevel="0" collapsed="false">
      <c r="B550" s="179"/>
    </row>
    <row r="551" customFormat="false" ht="15.75" hidden="false" customHeight="false" outlineLevel="0" collapsed="false">
      <c r="B551" s="179"/>
    </row>
    <row r="552" customFormat="false" ht="15.75" hidden="false" customHeight="false" outlineLevel="0" collapsed="false">
      <c r="B552" s="179"/>
    </row>
    <row r="553" customFormat="false" ht="15.75" hidden="false" customHeight="false" outlineLevel="0" collapsed="false">
      <c r="B553" s="179"/>
    </row>
    <row r="554" customFormat="false" ht="15.75" hidden="false" customHeight="false" outlineLevel="0" collapsed="false">
      <c r="B554" s="179"/>
    </row>
    <row r="555" customFormat="false" ht="15.75" hidden="false" customHeight="false" outlineLevel="0" collapsed="false">
      <c r="B555" s="179"/>
    </row>
    <row r="556" customFormat="false" ht="15.75" hidden="false" customHeight="false" outlineLevel="0" collapsed="false">
      <c r="B556" s="179"/>
    </row>
    <row r="557" customFormat="false" ht="15.75" hidden="false" customHeight="false" outlineLevel="0" collapsed="false">
      <c r="B557" s="179"/>
    </row>
    <row r="558" customFormat="false" ht="15.75" hidden="false" customHeight="false" outlineLevel="0" collapsed="false">
      <c r="B558" s="179"/>
    </row>
    <row r="559" customFormat="false" ht="15.75" hidden="false" customHeight="false" outlineLevel="0" collapsed="false">
      <c r="B559" s="179"/>
    </row>
    <row r="560" customFormat="false" ht="15.75" hidden="false" customHeight="false" outlineLevel="0" collapsed="false">
      <c r="B560" s="179"/>
    </row>
    <row r="561" customFormat="false" ht="15.75" hidden="false" customHeight="false" outlineLevel="0" collapsed="false">
      <c r="B561" s="179"/>
    </row>
    <row r="562" customFormat="false" ht="15.75" hidden="false" customHeight="false" outlineLevel="0" collapsed="false">
      <c r="B562" s="179"/>
    </row>
    <row r="563" customFormat="false" ht="15.75" hidden="false" customHeight="false" outlineLevel="0" collapsed="false">
      <c r="B563" s="179"/>
    </row>
    <row r="564" customFormat="false" ht="15.75" hidden="false" customHeight="false" outlineLevel="0" collapsed="false">
      <c r="B564" s="179"/>
    </row>
    <row r="565" customFormat="false" ht="15.75" hidden="false" customHeight="false" outlineLevel="0" collapsed="false">
      <c r="B565" s="179"/>
    </row>
    <row r="566" customFormat="false" ht="15.75" hidden="false" customHeight="false" outlineLevel="0" collapsed="false">
      <c r="B566" s="179"/>
    </row>
    <row r="567" customFormat="false" ht="15.75" hidden="false" customHeight="false" outlineLevel="0" collapsed="false">
      <c r="B567" s="179"/>
    </row>
    <row r="568" customFormat="false" ht="15.75" hidden="false" customHeight="false" outlineLevel="0" collapsed="false">
      <c r="B568" s="179"/>
    </row>
    <row r="569" customFormat="false" ht="15.75" hidden="false" customHeight="false" outlineLevel="0" collapsed="false">
      <c r="B569" s="179"/>
    </row>
    <row r="570" customFormat="false" ht="15.75" hidden="false" customHeight="false" outlineLevel="0" collapsed="false">
      <c r="B570" s="179"/>
    </row>
    <row r="571" customFormat="false" ht="15.75" hidden="false" customHeight="false" outlineLevel="0" collapsed="false">
      <c r="B571" s="179"/>
    </row>
    <row r="572" customFormat="false" ht="15.75" hidden="false" customHeight="false" outlineLevel="0" collapsed="false">
      <c r="B572" s="179"/>
    </row>
    <row r="573" customFormat="false" ht="15.75" hidden="false" customHeight="false" outlineLevel="0" collapsed="false">
      <c r="B573" s="179"/>
    </row>
    <row r="574" customFormat="false" ht="15.75" hidden="false" customHeight="false" outlineLevel="0" collapsed="false">
      <c r="B574" s="179"/>
    </row>
    <row r="575" customFormat="false" ht="15.75" hidden="false" customHeight="false" outlineLevel="0" collapsed="false">
      <c r="B575" s="179"/>
    </row>
    <row r="576" customFormat="false" ht="15.75" hidden="false" customHeight="false" outlineLevel="0" collapsed="false">
      <c r="B576" s="179"/>
    </row>
    <row r="577" customFormat="false" ht="15.75" hidden="false" customHeight="false" outlineLevel="0" collapsed="false">
      <c r="B577" s="179"/>
    </row>
    <row r="578" customFormat="false" ht="15.75" hidden="false" customHeight="false" outlineLevel="0" collapsed="false">
      <c r="B578" s="179"/>
    </row>
    <row r="579" customFormat="false" ht="15.75" hidden="false" customHeight="false" outlineLevel="0" collapsed="false">
      <c r="B579" s="179"/>
    </row>
    <row r="580" customFormat="false" ht="15.75" hidden="false" customHeight="false" outlineLevel="0" collapsed="false">
      <c r="B580" s="179"/>
    </row>
    <row r="581" customFormat="false" ht="15.75" hidden="false" customHeight="false" outlineLevel="0" collapsed="false">
      <c r="B581" s="179"/>
    </row>
    <row r="582" customFormat="false" ht="15.75" hidden="false" customHeight="false" outlineLevel="0" collapsed="false">
      <c r="B582" s="179"/>
    </row>
    <row r="583" customFormat="false" ht="15.75" hidden="false" customHeight="false" outlineLevel="0" collapsed="false">
      <c r="B583" s="179"/>
    </row>
    <row r="584" customFormat="false" ht="15.75" hidden="false" customHeight="false" outlineLevel="0" collapsed="false">
      <c r="B584" s="179"/>
    </row>
    <row r="585" customFormat="false" ht="15.75" hidden="false" customHeight="false" outlineLevel="0" collapsed="false">
      <c r="B585" s="179"/>
    </row>
    <row r="586" customFormat="false" ht="15.75" hidden="false" customHeight="false" outlineLevel="0" collapsed="false">
      <c r="B586" s="179"/>
    </row>
    <row r="587" customFormat="false" ht="15.75" hidden="false" customHeight="false" outlineLevel="0" collapsed="false">
      <c r="B587" s="179"/>
    </row>
    <row r="588" customFormat="false" ht="15.75" hidden="false" customHeight="false" outlineLevel="0" collapsed="false">
      <c r="B588" s="179"/>
    </row>
    <row r="589" customFormat="false" ht="15.75" hidden="false" customHeight="false" outlineLevel="0" collapsed="false">
      <c r="B589" s="179"/>
    </row>
    <row r="590" customFormat="false" ht="15.75" hidden="false" customHeight="false" outlineLevel="0" collapsed="false">
      <c r="B590" s="179"/>
    </row>
    <row r="591" customFormat="false" ht="15.75" hidden="false" customHeight="false" outlineLevel="0" collapsed="false">
      <c r="B591" s="179"/>
    </row>
    <row r="592" customFormat="false" ht="15.75" hidden="false" customHeight="false" outlineLevel="0" collapsed="false">
      <c r="B592" s="179"/>
    </row>
    <row r="593" customFormat="false" ht="15.75" hidden="false" customHeight="false" outlineLevel="0" collapsed="false">
      <c r="B593" s="179"/>
    </row>
    <row r="594" customFormat="false" ht="15.75" hidden="false" customHeight="false" outlineLevel="0" collapsed="false">
      <c r="B594" s="179"/>
    </row>
    <row r="595" customFormat="false" ht="15.75" hidden="false" customHeight="false" outlineLevel="0" collapsed="false">
      <c r="B595" s="179"/>
    </row>
    <row r="596" customFormat="false" ht="15.75" hidden="false" customHeight="false" outlineLevel="0" collapsed="false">
      <c r="B596" s="179"/>
    </row>
    <row r="597" customFormat="false" ht="15.75" hidden="false" customHeight="false" outlineLevel="0" collapsed="false">
      <c r="B597" s="179"/>
    </row>
    <row r="598" customFormat="false" ht="15.75" hidden="false" customHeight="false" outlineLevel="0" collapsed="false">
      <c r="B598" s="179"/>
    </row>
    <row r="599" customFormat="false" ht="15.75" hidden="false" customHeight="false" outlineLevel="0" collapsed="false">
      <c r="B599" s="179"/>
    </row>
    <row r="600" customFormat="false" ht="15.75" hidden="false" customHeight="false" outlineLevel="0" collapsed="false">
      <c r="B600" s="179"/>
    </row>
    <row r="601" customFormat="false" ht="15.75" hidden="false" customHeight="false" outlineLevel="0" collapsed="false">
      <c r="B601" s="179"/>
    </row>
    <row r="602" customFormat="false" ht="15.75" hidden="false" customHeight="false" outlineLevel="0" collapsed="false">
      <c r="B602" s="179"/>
    </row>
    <row r="603" customFormat="false" ht="15.75" hidden="false" customHeight="false" outlineLevel="0" collapsed="false">
      <c r="B603" s="179"/>
    </row>
    <row r="604" customFormat="false" ht="15.75" hidden="false" customHeight="false" outlineLevel="0" collapsed="false">
      <c r="B604" s="179"/>
    </row>
    <row r="605" customFormat="false" ht="15.75" hidden="false" customHeight="false" outlineLevel="0" collapsed="false">
      <c r="B605" s="179"/>
    </row>
    <row r="606" customFormat="false" ht="15.75" hidden="false" customHeight="false" outlineLevel="0" collapsed="false">
      <c r="B606" s="179"/>
    </row>
    <row r="607" customFormat="false" ht="15.75" hidden="false" customHeight="false" outlineLevel="0" collapsed="false">
      <c r="B607" s="179"/>
    </row>
    <row r="608" customFormat="false" ht="15.75" hidden="false" customHeight="false" outlineLevel="0" collapsed="false">
      <c r="B608" s="179"/>
    </row>
    <row r="609" customFormat="false" ht="15.75" hidden="false" customHeight="false" outlineLevel="0" collapsed="false">
      <c r="B609" s="179"/>
    </row>
    <row r="610" customFormat="false" ht="15.75" hidden="false" customHeight="false" outlineLevel="0" collapsed="false">
      <c r="B610" s="179"/>
    </row>
    <row r="611" customFormat="false" ht="15.75" hidden="false" customHeight="false" outlineLevel="0" collapsed="false">
      <c r="B611" s="179"/>
    </row>
    <row r="612" customFormat="false" ht="15.75" hidden="false" customHeight="false" outlineLevel="0" collapsed="false">
      <c r="B612" s="179"/>
    </row>
    <row r="613" customFormat="false" ht="15.75" hidden="false" customHeight="false" outlineLevel="0" collapsed="false">
      <c r="B613" s="179"/>
    </row>
    <row r="614" customFormat="false" ht="15.75" hidden="false" customHeight="false" outlineLevel="0" collapsed="false">
      <c r="B614" s="179"/>
    </row>
    <row r="615" customFormat="false" ht="15.75" hidden="false" customHeight="false" outlineLevel="0" collapsed="false">
      <c r="B615" s="179"/>
    </row>
    <row r="616" customFormat="false" ht="15.75" hidden="false" customHeight="false" outlineLevel="0" collapsed="false">
      <c r="B616" s="179"/>
    </row>
    <row r="617" customFormat="false" ht="15.75" hidden="false" customHeight="false" outlineLevel="0" collapsed="false">
      <c r="B617" s="179"/>
    </row>
    <row r="618" customFormat="false" ht="15.75" hidden="false" customHeight="false" outlineLevel="0" collapsed="false">
      <c r="B618" s="179"/>
    </row>
    <row r="619" customFormat="false" ht="15.75" hidden="false" customHeight="false" outlineLevel="0" collapsed="false">
      <c r="B619" s="179"/>
    </row>
    <row r="620" customFormat="false" ht="15.75" hidden="false" customHeight="false" outlineLevel="0" collapsed="false">
      <c r="B620" s="179"/>
    </row>
    <row r="621" customFormat="false" ht="15.75" hidden="false" customHeight="false" outlineLevel="0" collapsed="false">
      <c r="B621" s="179"/>
    </row>
    <row r="622" customFormat="false" ht="15.75" hidden="false" customHeight="false" outlineLevel="0" collapsed="false">
      <c r="B622" s="179"/>
    </row>
    <row r="623" customFormat="false" ht="15.75" hidden="false" customHeight="false" outlineLevel="0" collapsed="false">
      <c r="B623" s="179"/>
    </row>
    <row r="624" customFormat="false" ht="15.75" hidden="false" customHeight="false" outlineLevel="0" collapsed="false">
      <c r="B624" s="179"/>
    </row>
    <row r="625" customFormat="false" ht="15.75" hidden="false" customHeight="false" outlineLevel="0" collapsed="false">
      <c r="B625" s="179"/>
    </row>
    <row r="626" customFormat="false" ht="15.75" hidden="false" customHeight="false" outlineLevel="0" collapsed="false">
      <c r="B626" s="179"/>
    </row>
    <row r="627" customFormat="false" ht="15.75" hidden="false" customHeight="false" outlineLevel="0" collapsed="false">
      <c r="B627" s="179"/>
    </row>
    <row r="628" customFormat="false" ht="15.75" hidden="false" customHeight="false" outlineLevel="0" collapsed="false">
      <c r="B628" s="179"/>
    </row>
    <row r="629" customFormat="false" ht="15.75" hidden="false" customHeight="false" outlineLevel="0" collapsed="false">
      <c r="B629" s="179"/>
    </row>
    <row r="630" customFormat="false" ht="15.75" hidden="false" customHeight="false" outlineLevel="0" collapsed="false">
      <c r="B630" s="179"/>
    </row>
    <row r="631" customFormat="false" ht="15.75" hidden="false" customHeight="false" outlineLevel="0" collapsed="false">
      <c r="B631" s="179"/>
    </row>
    <row r="632" customFormat="false" ht="15.75" hidden="false" customHeight="false" outlineLevel="0" collapsed="false">
      <c r="B632" s="179"/>
    </row>
    <row r="633" customFormat="false" ht="15.75" hidden="false" customHeight="false" outlineLevel="0" collapsed="false">
      <c r="B633" s="179"/>
    </row>
    <row r="634" customFormat="false" ht="15.75" hidden="false" customHeight="false" outlineLevel="0" collapsed="false">
      <c r="B634" s="179"/>
    </row>
    <row r="635" customFormat="false" ht="15.75" hidden="false" customHeight="false" outlineLevel="0" collapsed="false">
      <c r="B635" s="179"/>
    </row>
    <row r="636" customFormat="false" ht="15.75" hidden="false" customHeight="false" outlineLevel="0" collapsed="false">
      <c r="B636" s="179"/>
    </row>
    <row r="637" customFormat="false" ht="15.75" hidden="false" customHeight="false" outlineLevel="0" collapsed="false">
      <c r="B637" s="179"/>
    </row>
    <row r="638" customFormat="false" ht="15.75" hidden="false" customHeight="false" outlineLevel="0" collapsed="false">
      <c r="B638" s="179"/>
    </row>
    <row r="639" customFormat="false" ht="15.75" hidden="false" customHeight="false" outlineLevel="0" collapsed="false">
      <c r="B639" s="179"/>
    </row>
    <row r="640" customFormat="false" ht="15.75" hidden="false" customHeight="false" outlineLevel="0" collapsed="false">
      <c r="B640" s="179"/>
    </row>
    <row r="641" customFormat="false" ht="15.75" hidden="false" customHeight="false" outlineLevel="0" collapsed="false">
      <c r="B641" s="179"/>
    </row>
    <row r="642" customFormat="false" ht="15.75" hidden="false" customHeight="false" outlineLevel="0" collapsed="false">
      <c r="B642" s="179"/>
    </row>
    <row r="643" customFormat="false" ht="15.75" hidden="false" customHeight="false" outlineLevel="0" collapsed="false">
      <c r="B643" s="179"/>
    </row>
    <row r="644" customFormat="false" ht="15.75" hidden="false" customHeight="false" outlineLevel="0" collapsed="false">
      <c r="B644" s="179"/>
    </row>
    <row r="645" customFormat="false" ht="15.75" hidden="false" customHeight="false" outlineLevel="0" collapsed="false">
      <c r="B645" s="179"/>
    </row>
    <row r="646" customFormat="false" ht="15.75" hidden="false" customHeight="false" outlineLevel="0" collapsed="false">
      <c r="B646" s="179"/>
    </row>
    <row r="647" customFormat="false" ht="15.75" hidden="false" customHeight="false" outlineLevel="0" collapsed="false">
      <c r="B647" s="179"/>
    </row>
    <row r="648" customFormat="false" ht="15.75" hidden="false" customHeight="false" outlineLevel="0" collapsed="false">
      <c r="B648" s="179"/>
    </row>
    <row r="649" customFormat="false" ht="15.75" hidden="false" customHeight="false" outlineLevel="0" collapsed="false">
      <c r="B649" s="179"/>
    </row>
    <row r="650" customFormat="false" ht="15.75" hidden="false" customHeight="false" outlineLevel="0" collapsed="false">
      <c r="B650" s="179"/>
    </row>
    <row r="651" customFormat="false" ht="15.75" hidden="false" customHeight="false" outlineLevel="0" collapsed="false">
      <c r="B651" s="179"/>
    </row>
    <row r="652" customFormat="false" ht="15.75" hidden="false" customHeight="false" outlineLevel="0" collapsed="false">
      <c r="B652" s="179"/>
    </row>
    <row r="653" customFormat="false" ht="15.75" hidden="false" customHeight="false" outlineLevel="0" collapsed="false">
      <c r="B653" s="179"/>
    </row>
    <row r="654" customFormat="false" ht="15.75" hidden="false" customHeight="false" outlineLevel="0" collapsed="false">
      <c r="B654" s="179"/>
    </row>
    <row r="655" customFormat="false" ht="15.75" hidden="false" customHeight="false" outlineLevel="0" collapsed="false">
      <c r="B655" s="179"/>
    </row>
    <row r="656" customFormat="false" ht="15.75" hidden="false" customHeight="false" outlineLevel="0" collapsed="false">
      <c r="B656" s="179"/>
    </row>
    <row r="657" customFormat="false" ht="15.75" hidden="false" customHeight="false" outlineLevel="0" collapsed="false">
      <c r="B657" s="179"/>
    </row>
    <row r="658" customFormat="false" ht="15.75" hidden="false" customHeight="false" outlineLevel="0" collapsed="false">
      <c r="B658" s="179"/>
    </row>
    <row r="659" customFormat="false" ht="15.75" hidden="false" customHeight="false" outlineLevel="0" collapsed="false">
      <c r="B659" s="179"/>
    </row>
    <row r="660" customFormat="false" ht="15.75" hidden="false" customHeight="false" outlineLevel="0" collapsed="false">
      <c r="B660" s="179"/>
    </row>
    <row r="661" customFormat="false" ht="15.75" hidden="false" customHeight="false" outlineLevel="0" collapsed="false">
      <c r="B661" s="179"/>
    </row>
    <row r="662" customFormat="false" ht="15.75" hidden="false" customHeight="false" outlineLevel="0" collapsed="false">
      <c r="B662" s="179"/>
    </row>
    <row r="663" customFormat="false" ht="15.75" hidden="false" customHeight="false" outlineLevel="0" collapsed="false">
      <c r="B663" s="179"/>
    </row>
    <row r="664" customFormat="false" ht="15.75" hidden="false" customHeight="false" outlineLevel="0" collapsed="false">
      <c r="B664" s="179"/>
    </row>
    <row r="665" customFormat="false" ht="15.75" hidden="false" customHeight="false" outlineLevel="0" collapsed="false">
      <c r="B665" s="179"/>
    </row>
    <row r="666" customFormat="false" ht="15.75" hidden="false" customHeight="false" outlineLevel="0" collapsed="false">
      <c r="B666" s="179"/>
    </row>
    <row r="667" customFormat="false" ht="15.75" hidden="false" customHeight="false" outlineLevel="0" collapsed="false">
      <c r="B667" s="179"/>
    </row>
    <row r="668" customFormat="false" ht="15.75" hidden="false" customHeight="false" outlineLevel="0" collapsed="false">
      <c r="B668" s="179"/>
    </row>
    <row r="669" customFormat="false" ht="15.75" hidden="false" customHeight="false" outlineLevel="0" collapsed="false">
      <c r="B669" s="179"/>
    </row>
    <row r="670" customFormat="false" ht="15.75" hidden="false" customHeight="false" outlineLevel="0" collapsed="false">
      <c r="B670" s="179"/>
    </row>
    <row r="671" customFormat="false" ht="15.75" hidden="false" customHeight="false" outlineLevel="0" collapsed="false">
      <c r="B671" s="179"/>
    </row>
    <row r="672" customFormat="false" ht="15.75" hidden="false" customHeight="false" outlineLevel="0" collapsed="false">
      <c r="B672" s="179"/>
    </row>
    <row r="673" customFormat="false" ht="15.75" hidden="false" customHeight="false" outlineLevel="0" collapsed="false">
      <c r="B673" s="179"/>
    </row>
    <row r="674" customFormat="false" ht="15.75" hidden="false" customHeight="false" outlineLevel="0" collapsed="false">
      <c r="B674" s="179"/>
    </row>
    <row r="675" customFormat="false" ht="15.75" hidden="false" customHeight="false" outlineLevel="0" collapsed="false">
      <c r="B675" s="179"/>
    </row>
    <row r="676" customFormat="false" ht="15.75" hidden="false" customHeight="false" outlineLevel="0" collapsed="false">
      <c r="B676" s="179"/>
    </row>
    <row r="677" customFormat="false" ht="15.75" hidden="false" customHeight="false" outlineLevel="0" collapsed="false">
      <c r="B677" s="179"/>
    </row>
    <row r="678" customFormat="false" ht="15.75" hidden="false" customHeight="false" outlineLevel="0" collapsed="false">
      <c r="B678" s="179"/>
    </row>
    <row r="679" customFormat="false" ht="15.75" hidden="false" customHeight="false" outlineLevel="0" collapsed="false">
      <c r="B679" s="179"/>
    </row>
    <row r="680" customFormat="false" ht="15.75" hidden="false" customHeight="false" outlineLevel="0" collapsed="false">
      <c r="B680" s="179"/>
    </row>
    <row r="681" customFormat="false" ht="15.75" hidden="false" customHeight="false" outlineLevel="0" collapsed="false">
      <c r="B681" s="179"/>
    </row>
    <row r="682" customFormat="false" ht="15.75" hidden="false" customHeight="false" outlineLevel="0" collapsed="false">
      <c r="B682" s="179"/>
    </row>
    <row r="683" customFormat="false" ht="15.75" hidden="false" customHeight="false" outlineLevel="0" collapsed="false">
      <c r="B683" s="179"/>
    </row>
    <row r="684" customFormat="false" ht="15.75" hidden="false" customHeight="false" outlineLevel="0" collapsed="false">
      <c r="B684" s="179"/>
    </row>
    <row r="685" customFormat="false" ht="15.75" hidden="false" customHeight="false" outlineLevel="0" collapsed="false">
      <c r="B685" s="179"/>
    </row>
    <row r="686" customFormat="false" ht="15.75" hidden="false" customHeight="false" outlineLevel="0" collapsed="false">
      <c r="B686" s="179"/>
    </row>
    <row r="687" customFormat="false" ht="15.75" hidden="false" customHeight="false" outlineLevel="0" collapsed="false">
      <c r="B687" s="179"/>
    </row>
    <row r="688" customFormat="false" ht="15.75" hidden="false" customHeight="false" outlineLevel="0" collapsed="false">
      <c r="B688" s="179"/>
    </row>
    <row r="689" customFormat="false" ht="15.75" hidden="false" customHeight="false" outlineLevel="0" collapsed="false">
      <c r="B689" s="179"/>
    </row>
    <row r="690" customFormat="false" ht="15.75" hidden="false" customHeight="false" outlineLevel="0" collapsed="false">
      <c r="B690" s="179"/>
    </row>
    <row r="691" customFormat="false" ht="15.75" hidden="false" customHeight="false" outlineLevel="0" collapsed="false">
      <c r="B691" s="179"/>
    </row>
    <row r="692" customFormat="false" ht="15.75" hidden="false" customHeight="false" outlineLevel="0" collapsed="false">
      <c r="B692" s="179"/>
    </row>
    <row r="693" customFormat="false" ht="15.75" hidden="false" customHeight="false" outlineLevel="0" collapsed="false">
      <c r="B693" s="179"/>
    </row>
    <row r="694" customFormat="false" ht="15.75" hidden="false" customHeight="false" outlineLevel="0" collapsed="false">
      <c r="B694" s="179"/>
    </row>
    <row r="695" customFormat="false" ht="15.75" hidden="false" customHeight="false" outlineLevel="0" collapsed="false">
      <c r="B695" s="179"/>
    </row>
    <row r="696" customFormat="false" ht="15.75" hidden="false" customHeight="false" outlineLevel="0" collapsed="false">
      <c r="B696" s="179"/>
    </row>
    <row r="697" customFormat="false" ht="15.75" hidden="false" customHeight="false" outlineLevel="0" collapsed="false">
      <c r="B697" s="179"/>
    </row>
    <row r="698" customFormat="false" ht="15.75" hidden="false" customHeight="false" outlineLevel="0" collapsed="false">
      <c r="B698" s="179"/>
    </row>
    <row r="699" customFormat="false" ht="15.75" hidden="false" customHeight="false" outlineLevel="0" collapsed="false">
      <c r="B699" s="179"/>
    </row>
    <row r="700" customFormat="false" ht="15.75" hidden="false" customHeight="false" outlineLevel="0" collapsed="false">
      <c r="B700" s="179"/>
    </row>
    <row r="701" customFormat="false" ht="15.75" hidden="false" customHeight="false" outlineLevel="0" collapsed="false">
      <c r="B701" s="179"/>
    </row>
    <row r="702" customFormat="false" ht="15.75" hidden="false" customHeight="false" outlineLevel="0" collapsed="false">
      <c r="B702" s="179"/>
    </row>
    <row r="703" customFormat="false" ht="15.75" hidden="false" customHeight="false" outlineLevel="0" collapsed="false">
      <c r="B703" s="179"/>
    </row>
    <row r="704" customFormat="false" ht="15.75" hidden="false" customHeight="false" outlineLevel="0" collapsed="false">
      <c r="B704" s="179"/>
    </row>
    <row r="705" customFormat="false" ht="15.75" hidden="false" customHeight="false" outlineLevel="0" collapsed="false">
      <c r="B705" s="179"/>
    </row>
    <row r="706" customFormat="false" ht="15.75" hidden="false" customHeight="false" outlineLevel="0" collapsed="false">
      <c r="B706" s="179"/>
    </row>
    <row r="707" customFormat="false" ht="15.75" hidden="false" customHeight="false" outlineLevel="0" collapsed="false">
      <c r="B707" s="179"/>
    </row>
    <row r="708" customFormat="false" ht="15.75" hidden="false" customHeight="false" outlineLevel="0" collapsed="false">
      <c r="B708" s="179"/>
    </row>
    <row r="709" customFormat="false" ht="15.75" hidden="false" customHeight="false" outlineLevel="0" collapsed="false">
      <c r="B709" s="179"/>
    </row>
    <row r="710" customFormat="false" ht="15.75" hidden="false" customHeight="false" outlineLevel="0" collapsed="false">
      <c r="B710" s="179"/>
    </row>
    <row r="711" customFormat="false" ht="15.75" hidden="false" customHeight="false" outlineLevel="0" collapsed="false">
      <c r="B711" s="179"/>
    </row>
    <row r="712" customFormat="false" ht="15.75" hidden="false" customHeight="false" outlineLevel="0" collapsed="false">
      <c r="B712" s="179"/>
    </row>
    <row r="713" customFormat="false" ht="15.75" hidden="false" customHeight="false" outlineLevel="0" collapsed="false">
      <c r="B713" s="179"/>
    </row>
    <row r="714" customFormat="false" ht="15.75" hidden="false" customHeight="false" outlineLevel="0" collapsed="false">
      <c r="B714" s="179"/>
    </row>
    <row r="715" customFormat="false" ht="15.75" hidden="false" customHeight="false" outlineLevel="0" collapsed="false">
      <c r="B715" s="179"/>
    </row>
    <row r="716" customFormat="false" ht="15.75" hidden="false" customHeight="false" outlineLevel="0" collapsed="false">
      <c r="B716" s="179"/>
    </row>
    <row r="717" customFormat="false" ht="15.75" hidden="false" customHeight="false" outlineLevel="0" collapsed="false">
      <c r="B717" s="179"/>
    </row>
    <row r="718" customFormat="false" ht="15.75" hidden="false" customHeight="false" outlineLevel="0" collapsed="false">
      <c r="B718" s="179"/>
    </row>
    <row r="719" customFormat="false" ht="15.75" hidden="false" customHeight="false" outlineLevel="0" collapsed="false">
      <c r="B719" s="179"/>
    </row>
    <row r="720" customFormat="false" ht="15.75" hidden="false" customHeight="false" outlineLevel="0" collapsed="false">
      <c r="B720" s="179"/>
    </row>
    <row r="721" customFormat="false" ht="15.75" hidden="false" customHeight="false" outlineLevel="0" collapsed="false">
      <c r="B721" s="179"/>
    </row>
    <row r="722" customFormat="false" ht="15.75" hidden="false" customHeight="false" outlineLevel="0" collapsed="false">
      <c r="B722" s="179"/>
    </row>
    <row r="723" customFormat="false" ht="15.75" hidden="false" customHeight="false" outlineLevel="0" collapsed="false">
      <c r="B723" s="179"/>
    </row>
    <row r="724" customFormat="false" ht="15.75" hidden="false" customHeight="false" outlineLevel="0" collapsed="false">
      <c r="B724" s="179"/>
    </row>
    <row r="725" customFormat="false" ht="15.75" hidden="false" customHeight="false" outlineLevel="0" collapsed="false">
      <c r="B725" s="179"/>
    </row>
    <row r="726" customFormat="false" ht="15.75" hidden="false" customHeight="false" outlineLevel="0" collapsed="false">
      <c r="B726" s="179"/>
    </row>
    <row r="727" customFormat="false" ht="15.75" hidden="false" customHeight="false" outlineLevel="0" collapsed="false">
      <c r="B727" s="179"/>
    </row>
    <row r="728" customFormat="false" ht="15.75" hidden="false" customHeight="false" outlineLevel="0" collapsed="false">
      <c r="B728" s="179"/>
    </row>
    <row r="729" customFormat="false" ht="15.75" hidden="false" customHeight="false" outlineLevel="0" collapsed="false">
      <c r="B729" s="179"/>
    </row>
    <row r="730" customFormat="false" ht="15.75" hidden="false" customHeight="false" outlineLevel="0" collapsed="false">
      <c r="B730" s="179"/>
    </row>
    <row r="731" customFormat="false" ht="15.75" hidden="false" customHeight="false" outlineLevel="0" collapsed="false">
      <c r="B731" s="179"/>
    </row>
    <row r="732" customFormat="false" ht="15.75" hidden="false" customHeight="false" outlineLevel="0" collapsed="false">
      <c r="B732" s="179"/>
    </row>
    <row r="733" customFormat="false" ht="15.75" hidden="false" customHeight="false" outlineLevel="0" collapsed="false">
      <c r="B733" s="179"/>
    </row>
    <row r="734" customFormat="false" ht="15.75" hidden="false" customHeight="false" outlineLevel="0" collapsed="false">
      <c r="B734" s="179"/>
    </row>
    <row r="735" customFormat="false" ht="15.75" hidden="false" customHeight="false" outlineLevel="0" collapsed="false">
      <c r="B735" s="179"/>
    </row>
    <row r="736" customFormat="false" ht="15.75" hidden="false" customHeight="false" outlineLevel="0" collapsed="false">
      <c r="B736" s="179"/>
    </row>
    <row r="737" customFormat="false" ht="15.75" hidden="false" customHeight="false" outlineLevel="0" collapsed="false">
      <c r="B737" s="179"/>
    </row>
    <row r="738" customFormat="false" ht="15.75" hidden="false" customHeight="false" outlineLevel="0" collapsed="false">
      <c r="B738" s="179"/>
    </row>
    <row r="739" customFormat="false" ht="15.75" hidden="false" customHeight="false" outlineLevel="0" collapsed="false">
      <c r="B739" s="179"/>
    </row>
    <row r="740" customFormat="false" ht="15.75" hidden="false" customHeight="false" outlineLevel="0" collapsed="false">
      <c r="B740" s="179"/>
    </row>
    <row r="741" customFormat="false" ht="15.75" hidden="false" customHeight="false" outlineLevel="0" collapsed="false">
      <c r="B741" s="179"/>
    </row>
    <row r="742" customFormat="false" ht="15.75" hidden="false" customHeight="false" outlineLevel="0" collapsed="false">
      <c r="B742" s="179"/>
    </row>
    <row r="743" customFormat="false" ht="15.75" hidden="false" customHeight="false" outlineLevel="0" collapsed="false">
      <c r="B743" s="179"/>
    </row>
    <row r="744" customFormat="false" ht="15.75" hidden="false" customHeight="false" outlineLevel="0" collapsed="false">
      <c r="B744" s="179"/>
    </row>
    <row r="745" customFormat="false" ht="15.75" hidden="false" customHeight="false" outlineLevel="0" collapsed="false">
      <c r="B745" s="179"/>
    </row>
    <row r="746" customFormat="false" ht="15.75" hidden="false" customHeight="false" outlineLevel="0" collapsed="false">
      <c r="B746" s="179"/>
    </row>
    <row r="747" customFormat="false" ht="15.75" hidden="false" customHeight="false" outlineLevel="0" collapsed="false">
      <c r="B747" s="179"/>
    </row>
    <row r="748" customFormat="false" ht="15.75" hidden="false" customHeight="false" outlineLevel="0" collapsed="false">
      <c r="B748" s="179"/>
    </row>
    <row r="749" customFormat="false" ht="15.75" hidden="false" customHeight="false" outlineLevel="0" collapsed="false">
      <c r="B749" s="179"/>
    </row>
    <row r="750" customFormat="false" ht="15.75" hidden="false" customHeight="false" outlineLevel="0" collapsed="false">
      <c r="B750" s="179"/>
    </row>
    <row r="751" customFormat="false" ht="15.75" hidden="false" customHeight="false" outlineLevel="0" collapsed="false">
      <c r="B751" s="179"/>
    </row>
    <row r="752" customFormat="false" ht="15.75" hidden="false" customHeight="false" outlineLevel="0" collapsed="false">
      <c r="B752" s="179"/>
    </row>
    <row r="753" customFormat="false" ht="15.75" hidden="false" customHeight="false" outlineLevel="0" collapsed="false">
      <c r="B753" s="179"/>
    </row>
    <row r="754" customFormat="false" ht="15.75" hidden="false" customHeight="false" outlineLevel="0" collapsed="false">
      <c r="B754" s="179"/>
    </row>
    <row r="755" customFormat="false" ht="15.75" hidden="false" customHeight="false" outlineLevel="0" collapsed="false">
      <c r="B755" s="179"/>
    </row>
    <row r="756" customFormat="false" ht="15.75" hidden="false" customHeight="false" outlineLevel="0" collapsed="false">
      <c r="B756" s="179"/>
    </row>
    <row r="757" customFormat="false" ht="15.75" hidden="false" customHeight="false" outlineLevel="0" collapsed="false">
      <c r="B757" s="179"/>
    </row>
    <row r="758" customFormat="false" ht="15.75" hidden="false" customHeight="false" outlineLevel="0" collapsed="false">
      <c r="B758" s="179"/>
    </row>
    <row r="759" customFormat="false" ht="15.75" hidden="false" customHeight="false" outlineLevel="0" collapsed="false">
      <c r="B759" s="179"/>
    </row>
    <row r="760" customFormat="false" ht="15.75" hidden="false" customHeight="false" outlineLevel="0" collapsed="false">
      <c r="B760" s="179"/>
    </row>
    <row r="761" customFormat="false" ht="15.75" hidden="false" customHeight="false" outlineLevel="0" collapsed="false">
      <c r="B761" s="179"/>
    </row>
    <row r="762" customFormat="false" ht="15.75" hidden="false" customHeight="false" outlineLevel="0" collapsed="false">
      <c r="B762" s="179"/>
    </row>
    <row r="763" customFormat="false" ht="15.75" hidden="false" customHeight="false" outlineLevel="0" collapsed="false">
      <c r="B763" s="179"/>
    </row>
    <row r="764" customFormat="false" ht="15.75" hidden="false" customHeight="false" outlineLevel="0" collapsed="false">
      <c r="B764" s="179"/>
    </row>
    <row r="765" customFormat="false" ht="15.75" hidden="false" customHeight="false" outlineLevel="0" collapsed="false">
      <c r="B765" s="179"/>
    </row>
    <row r="766" customFormat="false" ht="15.75" hidden="false" customHeight="false" outlineLevel="0" collapsed="false">
      <c r="B766" s="179"/>
    </row>
    <row r="767" customFormat="false" ht="15.75" hidden="false" customHeight="false" outlineLevel="0" collapsed="false">
      <c r="B767" s="179"/>
    </row>
    <row r="768" customFormat="false" ht="15.75" hidden="false" customHeight="false" outlineLevel="0" collapsed="false">
      <c r="B768" s="179"/>
    </row>
    <row r="769" customFormat="false" ht="15.75" hidden="false" customHeight="false" outlineLevel="0" collapsed="false">
      <c r="B769" s="179"/>
    </row>
    <row r="770" customFormat="false" ht="15.75" hidden="false" customHeight="false" outlineLevel="0" collapsed="false">
      <c r="B770" s="179"/>
    </row>
    <row r="771" customFormat="false" ht="15.75" hidden="false" customHeight="false" outlineLevel="0" collapsed="false">
      <c r="B771" s="179"/>
    </row>
    <row r="772" customFormat="false" ht="15.75" hidden="false" customHeight="false" outlineLevel="0" collapsed="false">
      <c r="B772" s="179"/>
    </row>
    <row r="773" customFormat="false" ht="15.75" hidden="false" customHeight="false" outlineLevel="0" collapsed="false">
      <c r="B773" s="179"/>
    </row>
    <row r="774" customFormat="false" ht="15.75" hidden="false" customHeight="false" outlineLevel="0" collapsed="false">
      <c r="B774" s="179"/>
    </row>
    <row r="775" customFormat="false" ht="15.75" hidden="false" customHeight="false" outlineLevel="0" collapsed="false">
      <c r="B775" s="179"/>
    </row>
    <row r="776" customFormat="false" ht="15.75" hidden="false" customHeight="false" outlineLevel="0" collapsed="false">
      <c r="B776" s="179"/>
    </row>
    <row r="777" customFormat="false" ht="15.75" hidden="false" customHeight="false" outlineLevel="0" collapsed="false">
      <c r="B777" s="179"/>
    </row>
    <row r="778" customFormat="false" ht="15.75" hidden="false" customHeight="false" outlineLevel="0" collapsed="false">
      <c r="B778" s="179"/>
    </row>
    <row r="779" customFormat="false" ht="15.75" hidden="false" customHeight="false" outlineLevel="0" collapsed="false">
      <c r="B779" s="179"/>
    </row>
    <row r="780" customFormat="false" ht="15.75" hidden="false" customHeight="false" outlineLevel="0" collapsed="false">
      <c r="B780" s="179"/>
    </row>
    <row r="781" customFormat="false" ht="15.75" hidden="false" customHeight="false" outlineLevel="0" collapsed="false">
      <c r="B781" s="179"/>
    </row>
    <row r="782" customFormat="false" ht="15.75" hidden="false" customHeight="false" outlineLevel="0" collapsed="false">
      <c r="B782" s="179"/>
    </row>
    <row r="783" customFormat="false" ht="15.75" hidden="false" customHeight="false" outlineLevel="0" collapsed="false">
      <c r="B783" s="179"/>
    </row>
    <row r="784" customFormat="false" ht="15.75" hidden="false" customHeight="false" outlineLevel="0" collapsed="false">
      <c r="B784" s="179"/>
    </row>
    <row r="785" customFormat="false" ht="15.75" hidden="false" customHeight="false" outlineLevel="0" collapsed="false">
      <c r="B785" s="179"/>
    </row>
    <row r="786" customFormat="false" ht="15.75" hidden="false" customHeight="false" outlineLevel="0" collapsed="false">
      <c r="B786" s="179"/>
    </row>
    <row r="787" customFormat="false" ht="15.75" hidden="false" customHeight="false" outlineLevel="0" collapsed="false">
      <c r="B787" s="179"/>
    </row>
    <row r="788" customFormat="false" ht="15.75" hidden="false" customHeight="false" outlineLevel="0" collapsed="false">
      <c r="B788" s="179"/>
    </row>
    <row r="789" customFormat="false" ht="15.75" hidden="false" customHeight="false" outlineLevel="0" collapsed="false">
      <c r="B789" s="179"/>
    </row>
    <row r="790" customFormat="false" ht="15.75" hidden="false" customHeight="false" outlineLevel="0" collapsed="false">
      <c r="B790" s="179"/>
    </row>
    <row r="791" customFormat="false" ht="15.75" hidden="false" customHeight="false" outlineLevel="0" collapsed="false">
      <c r="B791" s="179"/>
    </row>
    <row r="792" customFormat="false" ht="15.75" hidden="false" customHeight="false" outlineLevel="0" collapsed="false">
      <c r="B792" s="179"/>
    </row>
    <row r="793" customFormat="false" ht="15.75" hidden="false" customHeight="false" outlineLevel="0" collapsed="false">
      <c r="B793" s="179"/>
    </row>
    <row r="794" customFormat="false" ht="15.75" hidden="false" customHeight="false" outlineLevel="0" collapsed="false">
      <c r="B794" s="179"/>
    </row>
    <row r="795" customFormat="false" ht="15.75" hidden="false" customHeight="false" outlineLevel="0" collapsed="false">
      <c r="B795" s="179"/>
    </row>
    <row r="796" customFormat="false" ht="15.75" hidden="false" customHeight="false" outlineLevel="0" collapsed="false">
      <c r="B796" s="179"/>
    </row>
    <row r="797" customFormat="false" ht="15.75" hidden="false" customHeight="false" outlineLevel="0" collapsed="false">
      <c r="B797" s="179"/>
    </row>
    <row r="798" customFormat="false" ht="15.75" hidden="false" customHeight="false" outlineLevel="0" collapsed="false">
      <c r="B798" s="179"/>
    </row>
    <row r="799" customFormat="false" ht="15.75" hidden="false" customHeight="false" outlineLevel="0" collapsed="false">
      <c r="B799" s="179"/>
    </row>
    <row r="800" customFormat="false" ht="15.75" hidden="false" customHeight="false" outlineLevel="0" collapsed="false">
      <c r="B800" s="179"/>
    </row>
    <row r="801" customFormat="false" ht="15.75" hidden="false" customHeight="false" outlineLevel="0" collapsed="false">
      <c r="B801" s="179"/>
    </row>
    <row r="802" customFormat="false" ht="15.75" hidden="false" customHeight="false" outlineLevel="0" collapsed="false">
      <c r="B802" s="179"/>
    </row>
    <row r="803" customFormat="false" ht="15.75" hidden="false" customHeight="false" outlineLevel="0" collapsed="false">
      <c r="B803" s="179"/>
    </row>
    <row r="804" customFormat="false" ht="15.75" hidden="false" customHeight="false" outlineLevel="0" collapsed="false">
      <c r="B804" s="179"/>
    </row>
    <row r="805" customFormat="false" ht="15.75" hidden="false" customHeight="false" outlineLevel="0" collapsed="false">
      <c r="B805" s="179"/>
    </row>
    <row r="806" customFormat="false" ht="15.75" hidden="false" customHeight="false" outlineLevel="0" collapsed="false">
      <c r="B806" s="179"/>
    </row>
    <row r="807" customFormat="false" ht="15.75" hidden="false" customHeight="false" outlineLevel="0" collapsed="false">
      <c r="B807" s="179"/>
    </row>
    <row r="808" customFormat="false" ht="15.75" hidden="false" customHeight="false" outlineLevel="0" collapsed="false">
      <c r="B808" s="179"/>
    </row>
    <row r="809" customFormat="false" ht="15.75" hidden="false" customHeight="false" outlineLevel="0" collapsed="false">
      <c r="B809" s="179"/>
    </row>
    <row r="810" customFormat="false" ht="15.75" hidden="false" customHeight="false" outlineLevel="0" collapsed="false">
      <c r="B810" s="179"/>
    </row>
    <row r="811" customFormat="false" ht="15.75" hidden="false" customHeight="false" outlineLevel="0" collapsed="false">
      <c r="B811" s="179"/>
    </row>
    <row r="812" customFormat="false" ht="15.75" hidden="false" customHeight="false" outlineLevel="0" collapsed="false">
      <c r="B812" s="179"/>
    </row>
    <row r="813" customFormat="false" ht="15.75" hidden="false" customHeight="false" outlineLevel="0" collapsed="false">
      <c r="B813" s="179"/>
    </row>
    <row r="814" customFormat="false" ht="15.75" hidden="false" customHeight="false" outlineLevel="0" collapsed="false">
      <c r="B814" s="179"/>
    </row>
    <row r="815" customFormat="false" ht="15.75" hidden="false" customHeight="false" outlineLevel="0" collapsed="false">
      <c r="B815" s="179"/>
    </row>
    <row r="816" customFormat="false" ht="15.75" hidden="false" customHeight="false" outlineLevel="0" collapsed="false">
      <c r="B816" s="179"/>
    </row>
    <row r="817" customFormat="false" ht="15.75" hidden="false" customHeight="false" outlineLevel="0" collapsed="false">
      <c r="B817" s="179"/>
    </row>
    <row r="818" customFormat="false" ht="15.75" hidden="false" customHeight="false" outlineLevel="0" collapsed="false">
      <c r="B818" s="179"/>
    </row>
    <row r="819" customFormat="false" ht="15.75" hidden="false" customHeight="false" outlineLevel="0" collapsed="false">
      <c r="B819" s="179"/>
    </row>
    <row r="820" customFormat="false" ht="15.75" hidden="false" customHeight="false" outlineLevel="0" collapsed="false">
      <c r="B820" s="179"/>
    </row>
    <row r="821" customFormat="false" ht="15.75" hidden="false" customHeight="false" outlineLevel="0" collapsed="false">
      <c r="B821" s="179"/>
    </row>
    <row r="822" customFormat="false" ht="15.75" hidden="false" customHeight="false" outlineLevel="0" collapsed="false">
      <c r="B822" s="179"/>
    </row>
    <row r="823" customFormat="false" ht="15.75" hidden="false" customHeight="false" outlineLevel="0" collapsed="false">
      <c r="B823" s="179"/>
    </row>
    <row r="824" customFormat="false" ht="15.75" hidden="false" customHeight="false" outlineLevel="0" collapsed="false">
      <c r="B824" s="179"/>
    </row>
    <row r="825" customFormat="false" ht="15.75" hidden="false" customHeight="false" outlineLevel="0" collapsed="false">
      <c r="B825" s="179"/>
    </row>
    <row r="826" customFormat="false" ht="15.75" hidden="false" customHeight="false" outlineLevel="0" collapsed="false">
      <c r="B826" s="179"/>
    </row>
    <row r="827" customFormat="false" ht="15.75" hidden="false" customHeight="false" outlineLevel="0" collapsed="false">
      <c r="B827" s="179"/>
    </row>
    <row r="828" customFormat="false" ht="15.75" hidden="false" customHeight="false" outlineLevel="0" collapsed="false">
      <c r="B828" s="179"/>
    </row>
    <row r="829" customFormat="false" ht="15.75" hidden="false" customHeight="false" outlineLevel="0" collapsed="false">
      <c r="B829" s="179"/>
    </row>
    <row r="830" customFormat="false" ht="15.75" hidden="false" customHeight="false" outlineLevel="0" collapsed="false">
      <c r="B830" s="179"/>
    </row>
    <row r="831" customFormat="false" ht="15.75" hidden="false" customHeight="false" outlineLevel="0" collapsed="false">
      <c r="B831" s="179"/>
    </row>
    <row r="832" customFormat="false" ht="15.75" hidden="false" customHeight="false" outlineLevel="0" collapsed="false">
      <c r="B832" s="179"/>
    </row>
    <row r="833" customFormat="false" ht="15.75" hidden="false" customHeight="false" outlineLevel="0" collapsed="false">
      <c r="B833" s="179"/>
    </row>
    <row r="834" customFormat="false" ht="15.75" hidden="false" customHeight="false" outlineLevel="0" collapsed="false">
      <c r="B834" s="179"/>
    </row>
    <row r="835" customFormat="false" ht="15.75" hidden="false" customHeight="false" outlineLevel="0" collapsed="false">
      <c r="B835" s="179"/>
    </row>
    <row r="836" customFormat="false" ht="15.75" hidden="false" customHeight="false" outlineLevel="0" collapsed="false">
      <c r="B836" s="179"/>
    </row>
    <row r="837" customFormat="false" ht="15.75" hidden="false" customHeight="false" outlineLevel="0" collapsed="false">
      <c r="B837" s="179"/>
    </row>
    <row r="838" customFormat="false" ht="15.75" hidden="false" customHeight="false" outlineLevel="0" collapsed="false">
      <c r="B838" s="179"/>
    </row>
    <row r="839" customFormat="false" ht="15.75" hidden="false" customHeight="false" outlineLevel="0" collapsed="false">
      <c r="B839" s="179"/>
    </row>
    <row r="840" customFormat="false" ht="15.75" hidden="false" customHeight="false" outlineLevel="0" collapsed="false">
      <c r="B840" s="179"/>
    </row>
    <row r="841" customFormat="false" ht="15.75" hidden="false" customHeight="false" outlineLevel="0" collapsed="false">
      <c r="B841" s="179"/>
    </row>
    <row r="842" customFormat="false" ht="15.75" hidden="false" customHeight="false" outlineLevel="0" collapsed="false">
      <c r="B842" s="179"/>
    </row>
    <row r="843" customFormat="false" ht="15.75" hidden="false" customHeight="false" outlineLevel="0" collapsed="false">
      <c r="B843" s="179"/>
    </row>
    <row r="844" customFormat="false" ht="15.75" hidden="false" customHeight="false" outlineLevel="0" collapsed="false">
      <c r="B844" s="179"/>
    </row>
    <row r="845" customFormat="false" ht="15.75" hidden="false" customHeight="false" outlineLevel="0" collapsed="false">
      <c r="B845" s="179"/>
    </row>
    <row r="846" customFormat="false" ht="15.75" hidden="false" customHeight="false" outlineLevel="0" collapsed="false">
      <c r="B846" s="179"/>
    </row>
    <row r="847" customFormat="false" ht="15.75" hidden="false" customHeight="false" outlineLevel="0" collapsed="false">
      <c r="B847" s="179"/>
    </row>
    <row r="848" customFormat="false" ht="15.75" hidden="false" customHeight="false" outlineLevel="0" collapsed="false">
      <c r="B848" s="179"/>
    </row>
    <row r="849" customFormat="false" ht="15.75" hidden="false" customHeight="false" outlineLevel="0" collapsed="false">
      <c r="B849" s="179"/>
    </row>
    <row r="850" customFormat="false" ht="15.75" hidden="false" customHeight="false" outlineLevel="0" collapsed="false">
      <c r="B850" s="179"/>
    </row>
    <row r="851" customFormat="false" ht="15.75" hidden="false" customHeight="false" outlineLevel="0" collapsed="false">
      <c r="B851" s="179"/>
    </row>
    <row r="852" customFormat="false" ht="15.75" hidden="false" customHeight="false" outlineLevel="0" collapsed="false">
      <c r="B852" s="179"/>
    </row>
    <row r="853" customFormat="false" ht="15.75" hidden="false" customHeight="false" outlineLevel="0" collapsed="false">
      <c r="B853" s="179"/>
    </row>
    <row r="854" customFormat="false" ht="15.75" hidden="false" customHeight="false" outlineLevel="0" collapsed="false">
      <c r="B854" s="179"/>
    </row>
    <row r="855" customFormat="false" ht="15.75" hidden="false" customHeight="false" outlineLevel="0" collapsed="false">
      <c r="B855" s="179"/>
    </row>
    <row r="856" customFormat="false" ht="15.75" hidden="false" customHeight="false" outlineLevel="0" collapsed="false">
      <c r="B856" s="179"/>
    </row>
    <row r="857" customFormat="false" ht="15.75" hidden="false" customHeight="false" outlineLevel="0" collapsed="false">
      <c r="B857" s="179"/>
    </row>
    <row r="858" customFormat="false" ht="15.75" hidden="false" customHeight="false" outlineLevel="0" collapsed="false">
      <c r="B858" s="179"/>
    </row>
    <row r="859" customFormat="false" ht="15.75" hidden="false" customHeight="false" outlineLevel="0" collapsed="false">
      <c r="B859" s="179"/>
    </row>
    <row r="860" customFormat="false" ht="15.75" hidden="false" customHeight="false" outlineLevel="0" collapsed="false">
      <c r="B860" s="179"/>
    </row>
    <row r="861" customFormat="false" ht="15.75" hidden="false" customHeight="false" outlineLevel="0" collapsed="false">
      <c r="B861" s="179"/>
    </row>
    <row r="862" customFormat="false" ht="15.75" hidden="false" customHeight="false" outlineLevel="0" collapsed="false">
      <c r="B862" s="179"/>
    </row>
    <row r="863" customFormat="false" ht="15.75" hidden="false" customHeight="false" outlineLevel="0" collapsed="false">
      <c r="B863" s="179"/>
    </row>
    <row r="864" customFormat="false" ht="15.75" hidden="false" customHeight="false" outlineLevel="0" collapsed="false">
      <c r="B864" s="179"/>
    </row>
    <row r="865" customFormat="false" ht="15.75" hidden="false" customHeight="false" outlineLevel="0" collapsed="false">
      <c r="B865" s="179"/>
    </row>
    <row r="866" customFormat="false" ht="15.75" hidden="false" customHeight="false" outlineLevel="0" collapsed="false">
      <c r="B866" s="179"/>
    </row>
    <row r="867" customFormat="false" ht="15.75" hidden="false" customHeight="false" outlineLevel="0" collapsed="false">
      <c r="B867" s="179"/>
    </row>
    <row r="868" customFormat="false" ht="15.75" hidden="false" customHeight="false" outlineLevel="0" collapsed="false">
      <c r="B868" s="179"/>
    </row>
    <row r="869" customFormat="false" ht="15.75" hidden="false" customHeight="false" outlineLevel="0" collapsed="false">
      <c r="B869" s="179"/>
    </row>
    <row r="870" customFormat="false" ht="15.75" hidden="false" customHeight="false" outlineLevel="0" collapsed="false">
      <c r="B870" s="179"/>
    </row>
    <row r="871" customFormat="false" ht="15.75" hidden="false" customHeight="false" outlineLevel="0" collapsed="false">
      <c r="B871" s="179"/>
    </row>
    <row r="872" customFormat="false" ht="15.75" hidden="false" customHeight="false" outlineLevel="0" collapsed="false">
      <c r="B872" s="179"/>
    </row>
    <row r="873" customFormat="false" ht="15.75" hidden="false" customHeight="false" outlineLevel="0" collapsed="false">
      <c r="B873" s="179"/>
    </row>
    <row r="874" customFormat="false" ht="15.75" hidden="false" customHeight="false" outlineLevel="0" collapsed="false">
      <c r="B874" s="179"/>
    </row>
    <row r="875" customFormat="false" ht="15.75" hidden="false" customHeight="false" outlineLevel="0" collapsed="false">
      <c r="B875" s="179"/>
    </row>
    <row r="876" customFormat="false" ht="15.75" hidden="false" customHeight="false" outlineLevel="0" collapsed="false">
      <c r="B876" s="179"/>
    </row>
    <row r="877" customFormat="false" ht="15.75" hidden="false" customHeight="false" outlineLevel="0" collapsed="false">
      <c r="B877" s="179"/>
    </row>
    <row r="878" customFormat="false" ht="15.75" hidden="false" customHeight="false" outlineLevel="0" collapsed="false">
      <c r="B878" s="179"/>
    </row>
    <row r="879" customFormat="false" ht="15.75" hidden="false" customHeight="false" outlineLevel="0" collapsed="false">
      <c r="B879" s="179"/>
    </row>
    <row r="880" customFormat="false" ht="15.75" hidden="false" customHeight="false" outlineLevel="0" collapsed="false">
      <c r="B880" s="179"/>
    </row>
    <row r="881" customFormat="false" ht="15.75" hidden="false" customHeight="false" outlineLevel="0" collapsed="false">
      <c r="B881" s="179"/>
    </row>
    <row r="882" customFormat="false" ht="15.75" hidden="false" customHeight="false" outlineLevel="0" collapsed="false">
      <c r="B882" s="179"/>
    </row>
    <row r="883" customFormat="false" ht="15.75" hidden="false" customHeight="false" outlineLevel="0" collapsed="false">
      <c r="B883" s="179"/>
    </row>
    <row r="884" customFormat="false" ht="15.75" hidden="false" customHeight="false" outlineLevel="0" collapsed="false">
      <c r="B884" s="179"/>
    </row>
    <row r="885" customFormat="false" ht="15.75" hidden="false" customHeight="false" outlineLevel="0" collapsed="false">
      <c r="B885" s="179"/>
    </row>
    <row r="886" customFormat="false" ht="15.75" hidden="false" customHeight="false" outlineLevel="0" collapsed="false">
      <c r="B886" s="179"/>
    </row>
    <row r="887" customFormat="false" ht="15.75" hidden="false" customHeight="false" outlineLevel="0" collapsed="false">
      <c r="B887" s="179"/>
    </row>
    <row r="888" customFormat="false" ht="15.75" hidden="false" customHeight="false" outlineLevel="0" collapsed="false">
      <c r="B888" s="179"/>
    </row>
    <row r="889" customFormat="false" ht="15.75" hidden="false" customHeight="false" outlineLevel="0" collapsed="false">
      <c r="B889" s="179"/>
    </row>
    <row r="890" customFormat="false" ht="15.75" hidden="false" customHeight="false" outlineLevel="0" collapsed="false">
      <c r="B890" s="179"/>
    </row>
    <row r="891" customFormat="false" ht="15.75" hidden="false" customHeight="false" outlineLevel="0" collapsed="false">
      <c r="B891" s="179"/>
    </row>
    <row r="892" customFormat="false" ht="15.75" hidden="false" customHeight="false" outlineLevel="0" collapsed="false">
      <c r="B892" s="179"/>
    </row>
    <row r="893" customFormat="false" ht="15.75" hidden="false" customHeight="false" outlineLevel="0" collapsed="false">
      <c r="B893" s="179"/>
    </row>
    <row r="894" customFormat="false" ht="15.75" hidden="false" customHeight="false" outlineLevel="0" collapsed="false">
      <c r="B894" s="179"/>
    </row>
    <row r="895" customFormat="false" ht="15.75" hidden="false" customHeight="false" outlineLevel="0" collapsed="false">
      <c r="B895" s="179"/>
    </row>
    <row r="896" customFormat="false" ht="15.75" hidden="false" customHeight="false" outlineLevel="0" collapsed="false">
      <c r="B896" s="179"/>
    </row>
    <row r="897" customFormat="false" ht="15.75" hidden="false" customHeight="false" outlineLevel="0" collapsed="false">
      <c r="B897" s="179"/>
    </row>
    <row r="898" customFormat="false" ht="15.75" hidden="false" customHeight="false" outlineLevel="0" collapsed="false">
      <c r="B898" s="179"/>
    </row>
    <row r="899" customFormat="false" ht="15.75" hidden="false" customHeight="false" outlineLevel="0" collapsed="false">
      <c r="B899" s="179"/>
    </row>
    <row r="900" customFormat="false" ht="15.75" hidden="false" customHeight="false" outlineLevel="0" collapsed="false">
      <c r="B900" s="179"/>
    </row>
    <row r="901" customFormat="false" ht="15.75" hidden="false" customHeight="false" outlineLevel="0" collapsed="false">
      <c r="B901" s="179"/>
    </row>
    <row r="902" customFormat="false" ht="15.75" hidden="false" customHeight="false" outlineLevel="0" collapsed="false">
      <c r="B902" s="179"/>
    </row>
    <row r="903" customFormat="false" ht="15.75" hidden="false" customHeight="false" outlineLevel="0" collapsed="false">
      <c r="B903" s="179"/>
    </row>
    <row r="904" customFormat="false" ht="15.75" hidden="false" customHeight="false" outlineLevel="0" collapsed="false">
      <c r="B904" s="179"/>
    </row>
    <row r="905" customFormat="false" ht="15.75" hidden="false" customHeight="false" outlineLevel="0" collapsed="false">
      <c r="B905" s="179"/>
    </row>
    <row r="906" customFormat="false" ht="15.75" hidden="false" customHeight="false" outlineLevel="0" collapsed="false">
      <c r="B906" s="179"/>
    </row>
    <row r="907" customFormat="false" ht="15.75" hidden="false" customHeight="false" outlineLevel="0" collapsed="false">
      <c r="B907" s="179"/>
    </row>
    <row r="908" customFormat="false" ht="15.75" hidden="false" customHeight="false" outlineLevel="0" collapsed="false">
      <c r="B908" s="179"/>
    </row>
    <row r="909" customFormat="false" ht="15.75" hidden="false" customHeight="false" outlineLevel="0" collapsed="false">
      <c r="B909" s="179"/>
    </row>
    <row r="910" customFormat="false" ht="15.75" hidden="false" customHeight="false" outlineLevel="0" collapsed="false">
      <c r="B910" s="179"/>
    </row>
    <row r="911" customFormat="false" ht="15.75" hidden="false" customHeight="false" outlineLevel="0" collapsed="false">
      <c r="B911" s="179"/>
    </row>
    <row r="912" customFormat="false" ht="15.75" hidden="false" customHeight="false" outlineLevel="0" collapsed="false">
      <c r="B912" s="179"/>
    </row>
    <row r="913" customFormat="false" ht="15.75" hidden="false" customHeight="false" outlineLevel="0" collapsed="false">
      <c r="B913" s="179"/>
    </row>
    <row r="914" customFormat="false" ht="15.75" hidden="false" customHeight="false" outlineLevel="0" collapsed="false">
      <c r="B914" s="179"/>
    </row>
    <row r="915" customFormat="false" ht="15.75" hidden="false" customHeight="false" outlineLevel="0" collapsed="false">
      <c r="B915" s="179"/>
    </row>
    <row r="916" customFormat="false" ht="15.75" hidden="false" customHeight="false" outlineLevel="0" collapsed="false">
      <c r="B916" s="179"/>
    </row>
    <row r="917" customFormat="false" ht="15.75" hidden="false" customHeight="false" outlineLevel="0" collapsed="false">
      <c r="B917" s="179"/>
    </row>
    <row r="918" customFormat="false" ht="15.75" hidden="false" customHeight="false" outlineLevel="0" collapsed="false">
      <c r="B918" s="179"/>
    </row>
    <row r="919" customFormat="false" ht="15.75" hidden="false" customHeight="false" outlineLevel="0" collapsed="false">
      <c r="B919" s="179"/>
    </row>
    <row r="920" customFormat="false" ht="15.75" hidden="false" customHeight="false" outlineLevel="0" collapsed="false">
      <c r="B920" s="179"/>
    </row>
    <row r="921" customFormat="false" ht="15.75" hidden="false" customHeight="false" outlineLevel="0" collapsed="false">
      <c r="B921" s="179"/>
    </row>
    <row r="922" customFormat="false" ht="15.75" hidden="false" customHeight="false" outlineLevel="0" collapsed="false">
      <c r="B922" s="179"/>
    </row>
    <row r="923" customFormat="false" ht="15.75" hidden="false" customHeight="false" outlineLevel="0" collapsed="false">
      <c r="B923" s="179"/>
    </row>
    <row r="924" customFormat="false" ht="15.75" hidden="false" customHeight="false" outlineLevel="0" collapsed="false">
      <c r="B924" s="179"/>
    </row>
    <row r="925" customFormat="false" ht="15.75" hidden="false" customHeight="false" outlineLevel="0" collapsed="false">
      <c r="B925" s="179"/>
    </row>
    <row r="926" customFormat="false" ht="15.75" hidden="false" customHeight="false" outlineLevel="0" collapsed="false">
      <c r="B926" s="179"/>
    </row>
    <row r="927" customFormat="false" ht="15.75" hidden="false" customHeight="false" outlineLevel="0" collapsed="false">
      <c r="B927" s="179"/>
    </row>
    <row r="928" customFormat="false" ht="15.75" hidden="false" customHeight="false" outlineLevel="0" collapsed="false">
      <c r="B928" s="179"/>
    </row>
    <row r="929" customFormat="false" ht="15.75" hidden="false" customHeight="false" outlineLevel="0" collapsed="false">
      <c r="B929" s="179"/>
    </row>
    <row r="930" customFormat="false" ht="15.75" hidden="false" customHeight="false" outlineLevel="0" collapsed="false">
      <c r="B930" s="179"/>
    </row>
    <row r="931" customFormat="false" ht="15.75" hidden="false" customHeight="false" outlineLevel="0" collapsed="false">
      <c r="B931" s="179"/>
    </row>
    <row r="932" customFormat="false" ht="15.75" hidden="false" customHeight="false" outlineLevel="0" collapsed="false">
      <c r="B932" s="179"/>
    </row>
    <row r="933" customFormat="false" ht="15.75" hidden="false" customHeight="false" outlineLevel="0" collapsed="false">
      <c r="B933" s="179"/>
    </row>
    <row r="934" customFormat="false" ht="15.75" hidden="false" customHeight="false" outlineLevel="0" collapsed="false">
      <c r="B934" s="179"/>
    </row>
    <row r="935" customFormat="false" ht="15.75" hidden="false" customHeight="false" outlineLevel="0" collapsed="false">
      <c r="B935" s="179"/>
    </row>
    <row r="936" customFormat="false" ht="15.75" hidden="false" customHeight="false" outlineLevel="0" collapsed="false">
      <c r="B936" s="179"/>
    </row>
    <row r="937" customFormat="false" ht="15.75" hidden="false" customHeight="false" outlineLevel="0" collapsed="false">
      <c r="B937" s="179"/>
    </row>
    <row r="938" customFormat="false" ht="15.75" hidden="false" customHeight="false" outlineLevel="0" collapsed="false">
      <c r="B938" s="179"/>
    </row>
    <row r="939" customFormat="false" ht="15.75" hidden="false" customHeight="false" outlineLevel="0" collapsed="false">
      <c r="B939" s="179"/>
    </row>
    <row r="940" customFormat="false" ht="15.75" hidden="false" customHeight="false" outlineLevel="0" collapsed="false">
      <c r="B940" s="179"/>
    </row>
    <row r="941" customFormat="false" ht="15.75" hidden="false" customHeight="false" outlineLevel="0" collapsed="false">
      <c r="B941" s="179"/>
    </row>
    <row r="942" customFormat="false" ht="15.75" hidden="false" customHeight="false" outlineLevel="0" collapsed="false">
      <c r="B942" s="179"/>
    </row>
    <row r="943" customFormat="false" ht="15.75" hidden="false" customHeight="false" outlineLevel="0" collapsed="false">
      <c r="B943" s="179"/>
    </row>
    <row r="944" customFormat="false" ht="15.75" hidden="false" customHeight="false" outlineLevel="0" collapsed="false">
      <c r="B944" s="179"/>
    </row>
    <row r="945" customFormat="false" ht="15.75" hidden="false" customHeight="false" outlineLevel="0" collapsed="false">
      <c r="B945" s="179"/>
    </row>
    <row r="946" customFormat="false" ht="15.75" hidden="false" customHeight="false" outlineLevel="0" collapsed="false">
      <c r="B946" s="179"/>
    </row>
    <row r="947" customFormat="false" ht="15.75" hidden="false" customHeight="false" outlineLevel="0" collapsed="false">
      <c r="B947" s="179"/>
    </row>
    <row r="948" customFormat="false" ht="15.75" hidden="false" customHeight="false" outlineLevel="0" collapsed="false">
      <c r="B948" s="179"/>
    </row>
    <row r="949" customFormat="false" ht="15.75" hidden="false" customHeight="false" outlineLevel="0" collapsed="false">
      <c r="B949" s="179"/>
    </row>
    <row r="950" customFormat="false" ht="15.75" hidden="false" customHeight="false" outlineLevel="0" collapsed="false">
      <c r="B950" s="179"/>
    </row>
    <row r="951" customFormat="false" ht="15.75" hidden="false" customHeight="false" outlineLevel="0" collapsed="false">
      <c r="B951" s="179"/>
    </row>
    <row r="952" customFormat="false" ht="15.75" hidden="false" customHeight="false" outlineLevel="0" collapsed="false">
      <c r="B952" s="179"/>
    </row>
    <row r="953" customFormat="false" ht="15.75" hidden="false" customHeight="false" outlineLevel="0" collapsed="false">
      <c r="B953" s="179"/>
    </row>
    <row r="954" customFormat="false" ht="15.75" hidden="false" customHeight="false" outlineLevel="0" collapsed="false">
      <c r="B954" s="179"/>
    </row>
    <row r="955" customFormat="false" ht="15.75" hidden="false" customHeight="false" outlineLevel="0" collapsed="false">
      <c r="B955" s="179"/>
    </row>
    <row r="956" customFormat="false" ht="15.75" hidden="false" customHeight="false" outlineLevel="0" collapsed="false">
      <c r="B956" s="179"/>
    </row>
    <row r="957" customFormat="false" ht="15.75" hidden="false" customHeight="false" outlineLevel="0" collapsed="false">
      <c r="B957" s="179"/>
    </row>
    <row r="958" customFormat="false" ht="15.75" hidden="false" customHeight="false" outlineLevel="0" collapsed="false">
      <c r="B958" s="179"/>
    </row>
    <row r="959" customFormat="false" ht="15.75" hidden="false" customHeight="false" outlineLevel="0" collapsed="false">
      <c r="B959" s="179"/>
    </row>
    <row r="960" customFormat="false" ht="15.75" hidden="false" customHeight="false" outlineLevel="0" collapsed="false">
      <c r="B960" s="179"/>
    </row>
    <row r="961" customFormat="false" ht="15.75" hidden="false" customHeight="false" outlineLevel="0" collapsed="false">
      <c r="B961" s="179"/>
    </row>
    <row r="962" customFormat="false" ht="15.75" hidden="false" customHeight="false" outlineLevel="0" collapsed="false">
      <c r="B962" s="179"/>
    </row>
    <row r="963" customFormat="false" ht="15.75" hidden="false" customHeight="false" outlineLevel="0" collapsed="false">
      <c r="B963" s="179"/>
    </row>
    <row r="964" customFormat="false" ht="15.75" hidden="false" customHeight="false" outlineLevel="0" collapsed="false">
      <c r="B964" s="179"/>
    </row>
    <row r="965" customFormat="false" ht="15.75" hidden="false" customHeight="false" outlineLevel="0" collapsed="false">
      <c r="B965" s="179"/>
    </row>
    <row r="966" customFormat="false" ht="15.75" hidden="false" customHeight="false" outlineLevel="0" collapsed="false">
      <c r="B966" s="179"/>
    </row>
    <row r="967" customFormat="false" ht="15.75" hidden="false" customHeight="false" outlineLevel="0" collapsed="false">
      <c r="B967" s="179"/>
    </row>
    <row r="968" customFormat="false" ht="15.75" hidden="false" customHeight="false" outlineLevel="0" collapsed="false">
      <c r="B968" s="179"/>
    </row>
    <row r="969" customFormat="false" ht="15.75" hidden="false" customHeight="false" outlineLevel="0" collapsed="false">
      <c r="B969" s="179"/>
    </row>
    <row r="970" customFormat="false" ht="15.75" hidden="false" customHeight="false" outlineLevel="0" collapsed="false">
      <c r="B970" s="179"/>
    </row>
    <row r="971" customFormat="false" ht="15.75" hidden="false" customHeight="false" outlineLevel="0" collapsed="false">
      <c r="B971" s="179"/>
    </row>
    <row r="972" customFormat="false" ht="15.75" hidden="false" customHeight="false" outlineLevel="0" collapsed="false">
      <c r="B972" s="179"/>
    </row>
    <row r="973" customFormat="false" ht="15.75" hidden="false" customHeight="false" outlineLevel="0" collapsed="false">
      <c r="B973" s="179"/>
    </row>
    <row r="974" customFormat="false" ht="15.75" hidden="false" customHeight="false" outlineLevel="0" collapsed="false">
      <c r="B974" s="179"/>
    </row>
    <row r="975" customFormat="false" ht="15.75" hidden="false" customHeight="false" outlineLevel="0" collapsed="false">
      <c r="B975" s="179"/>
    </row>
    <row r="976" customFormat="false" ht="15.75" hidden="false" customHeight="false" outlineLevel="0" collapsed="false">
      <c r="B976" s="179"/>
    </row>
    <row r="977" customFormat="false" ht="15.75" hidden="false" customHeight="false" outlineLevel="0" collapsed="false">
      <c r="B977" s="179"/>
    </row>
    <row r="978" customFormat="false" ht="15.75" hidden="false" customHeight="false" outlineLevel="0" collapsed="false">
      <c r="B978" s="179"/>
    </row>
    <row r="979" customFormat="false" ht="15.75" hidden="false" customHeight="false" outlineLevel="0" collapsed="false">
      <c r="B979" s="179"/>
    </row>
    <row r="980" customFormat="false" ht="15.75" hidden="false" customHeight="false" outlineLevel="0" collapsed="false">
      <c r="B980" s="179"/>
    </row>
    <row r="981" customFormat="false" ht="15.75" hidden="false" customHeight="false" outlineLevel="0" collapsed="false">
      <c r="B981" s="179"/>
    </row>
    <row r="982" customFormat="false" ht="15.75" hidden="false" customHeight="false" outlineLevel="0" collapsed="false">
      <c r="B982" s="179"/>
    </row>
    <row r="983" customFormat="false" ht="15.75" hidden="false" customHeight="false" outlineLevel="0" collapsed="false">
      <c r="B983" s="179"/>
    </row>
    <row r="984" customFormat="false" ht="15.75" hidden="false" customHeight="false" outlineLevel="0" collapsed="false">
      <c r="B984" s="179"/>
    </row>
    <row r="985" customFormat="false" ht="15.75" hidden="false" customHeight="false" outlineLevel="0" collapsed="false">
      <c r="B985" s="179"/>
    </row>
    <row r="986" customFormat="false" ht="15.75" hidden="false" customHeight="false" outlineLevel="0" collapsed="false">
      <c r="B986" s="179"/>
    </row>
    <row r="987" customFormat="false" ht="15.75" hidden="false" customHeight="false" outlineLevel="0" collapsed="false">
      <c r="B987" s="179"/>
    </row>
    <row r="988" customFormat="false" ht="15.75" hidden="false" customHeight="false" outlineLevel="0" collapsed="false">
      <c r="B988" s="179"/>
    </row>
    <row r="989" customFormat="false" ht="15.75" hidden="false" customHeight="false" outlineLevel="0" collapsed="false">
      <c r="B989" s="179"/>
    </row>
    <row r="990" customFormat="false" ht="15.75" hidden="false" customHeight="false" outlineLevel="0" collapsed="false">
      <c r="B990" s="179"/>
    </row>
    <row r="991" customFormat="false" ht="15.75" hidden="false" customHeight="false" outlineLevel="0" collapsed="false">
      <c r="B991" s="179"/>
    </row>
    <row r="992" customFormat="false" ht="15.75" hidden="false" customHeight="false" outlineLevel="0" collapsed="false">
      <c r="B992" s="179"/>
    </row>
    <row r="993" customFormat="false" ht="15.75" hidden="false" customHeight="false" outlineLevel="0" collapsed="false">
      <c r="B993" s="179"/>
    </row>
    <row r="994" customFormat="false" ht="15.75" hidden="false" customHeight="false" outlineLevel="0" collapsed="false">
      <c r="B994" s="179"/>
    </row>
    <row r="995" customFormat="false" ht="15.75" hidden="false" customHeight="false" outlineLevel="0" collapsed="false">
      <c r="B995" s="179"/>
    </row>
    <row r="996" customFormat="false" ht="15.75" hidden="false" customHeight="false" outlineLevel="0" collapsed="false">
      <c r="B996" s="179"/>
    </row>
    <row r="997" customFormat="false" ht="15.75" hidden="false" customHeight="false" outlineLevel="0" collapsed="false">
      <c r="B997" s="179"/>
    </row>
    <row r="998" customFormat="false" ht="15.75" hidden="false" customHeight="false" outlineLevel="0" collapsed="false">
      <c r="B998" s="179"/>
    </row>
    <row r="999" customFormat="false" ht="15.75" hidden="false" customHeight="false" outlineLevel="0" collapsed="false">
      <c r="B999" s="179"/>
    </row>
    <row r="1000" customFormat="false" ht="15.75" hidden="false" customHeight="false" outlineLevel="0" collapsed="false">
      <c r="B1000" s="179"/>
    </row>
    <row r="1001" customFormat="false" ht="15.75" hidden="false" customHeight="false" outlineLevel="0" collapsed="false">
      <c r="B1001" s="179"/>
    </row>
    <row r="1002" customFormat="false" ht="15.75" hidden="false" customHeight="false" outlineLevel="0" collapsed="false">
      <c r="B1002" s="179"/>
    </row>
    <row r="1003" customFormat="false" ht="15.75" hidden="false" customHeight="false" outlineLevel="0" collapsed="false">
      <c r="B1003" s="179"/>
    </row>
    <row r="1004" customFormat="false" ht="15.75" hidden="false" customHeight="false" outlineLevel="0" collapsed="false">
      <c r="B1004" s="179"/>
    </row>
    <row r="1005" customFormat="false" ht="15.75" hidden="false" customHeight="false" outlineLevel="0" collapsed="false">
      <c r="B1005" s="179"/>
    </row>
    <row r="1006" customFormat="false" ht="15.75" hidden="false" customHeight="false" outlineLevel="0" collapsed="false">
      <c r="B1006" s="179"/>
    </row>
    <row r="1007" customFormat="false" ht="15.75" hidden="false" customHeight="false" outlineLevel="0" collapsed="false">
      <c r="B1007" s="179"/>
    </row>
    <row r="1008" customFormat="false" ht="15.75" hidden="false" customHeight="false" outlineLevel="0" collapsed="false">
      <c r="B1008" s="179"/>
    </row>
    <row r="1009" customFormat="false" ht="15.75" hidden="false" customHeight="false" outlineLevel="0" collapsed="false">
      <c r="B1009" s="179"/>
    </row>
    <row r="1010" customFormat="false" ht="15.75" hidden="false" customHeight="false" outlineLevel="0" collapsed="false">
      <c r="B1010" s="179"/>
    </row>
    <row r="1011" customFormat="false" ht="15.75" hidden="false" customHeight="false" outlineLevel="0" collapsed="false">
      <c r="B1011" s="179"/>
    </row>
    <row r="1012" customFormat="false" ht="15.75" hidden="false" customHeight="false" outlineLevel="0" collapsed="false">
      <c r="B1012" s="179"/>
    </row>
    <row r="1013" customFormat="false" ht="15.75" hidden="false" customHeight="false" outlineLevel="0" collapsed="false">
      <c r="B1013" s="179"/>
    </row>
    <row r="1014" customFormat="false" ht="15.75" hidden="false" customHeight="false" outlineLevel="0" collapsed="false">
      <c r="B1014" s="179"/>
    </row>
    <row r="1015" customFormat="false" ht="15.75" hidden="false" customHeight="false" outlineLevel="0" collapsed="false">
      <c r="B1015" s="179"/>
    </row>
    <row r="1016" customFormat="false" ht="15.75" hidden="false" customHeight="false" outlineLevel="0" collapsed="false">
      <c r="B1016" s="179"/>
    </row>
    <row r="1017" customFormat="false" ht="15.75" hidden="false" customHeight="false" outlineLevel="0" collapsed="false">
      <c r="B1017" s="179"/>
    </row>
    <row r="1018" customFormat="false" ht="15.75" hidden="false" customHeight="false" outlineLevel="0" collapsed="false">
      <c r="B1018" s="179"/>
    </row>
    <row r="1019" customFormat="false" ht="15.75" hidden="false" customHeight="false" outlineLevel="0" collapsed="false">
      <c r="B1019" s="179"/>
    </row>
    <row r="1020" customFormat="false" ht="15.75" hidden="false" customHeight="false" outlineLevel="0" collapsed="false">
      <c r="B1020" s="179"/>
    </row>
    <row r="1021" customFormat="false" ht="15.75" hidden="false" customHeight="false" outlineLevel="0" collapsed="false">
      <c r="B1021" s="179"/>
    </row>
    <row r="1022" customFormat="false" ht="15.75" hidden="false" customHeight="false" outlineLevel="0" collapsed="false">
      <c r="B1022" s="179"/>
    </row>
    <row r="1023" customFormat="false" ht="15.75" hidden="false" customHeight="false" outlineLevel="0" collapsed="false">
      <c r="B1023" s="179"/>
    </row>
    <row r="1024" customFormat="false" ht="15.75" hidden="false" customHeight="false" outlineLevel="0" collapsed="false">
      <c r="B1024" s="179"/>
    </row>
    <row r="1025" customFormat="false" ht="15.75" hidden="false" customHeight="false" outlineLevel="0" collapsed="false">
      <c r="B1025" s="179"/>
    </row>
    <row r="1026" customFormat="false" ht="15.75" hidden="false" customHeight="false" outlineLevel="0" collapsed="false">
      <c r="B1026" s="179"/>
    </row>
    <row r="1027" customFormat="false" ht="15.75" hidden="false" customHeight="false" outlineLevel="0" collapsed="false">
      <c r="B1027" s="179"/>
    </row>
    <row r="1028" customFormat="false" ht="15.75" hidden="false" customHeight="false" outlineLevel="0" collapsed="false">
      <c r="B1028" s="179"/>
    </row>
    <row r="1029" customFormat="false" ht="15.75" hidden="false" customHeight="false" outlineLevel="0" collapsed="false">
      <c r="B1029" s="179"/>
    </row>
    <row r="1030" customFormat="false" ht="15.75" hidden="false" customHeight="false" outlineLevel="0" collapsed="false">
      <c r="B1030" s="179"/>
    </row>
    <row r="1031" customFormat="false" ht="15.75" hidden="false" customHeight="false" outlineLevel="0" collapsed="false">
      <c r="B1031" s="179"/>
    </row>
    <row r="1032" customFormat="false" ht="15.75" hidden="false" customHeight="false" outlineLevel="0" collapsed="false">
      <c r="B1032" s="179"/>
    </row>
    <row r="1033" customFormat="false" ht="15.75" hidden="false" customHeight="false" outlineLevel="0" collapsed="false">
      <c r="B1033" s="179"/>
    </row>
    <row r="1034" customFormat="false" ht="15.75" hidden="false" customHeight="false" outlineLevel="0" collapsed="false">
      <c r="B1034" s="179"/>
    </row>
    <row r="1035" customFormat="false" ht="15.75" hidden="false" customHeight="false" outlineLevel="0" collapsed="false">
      <c r="B1035" s="179"/>
    </row>
    <row r="1036" customFormat="false" ht="15.75" hidden="false" customHeight="false" outlineLevel="0" collapsed="false">
      <c r="B1036" s="179"/>
    </row>
    <row r="1037" customFormat="false" ht="15.75" hidden="false" customHeight="false" outlineLevel="0" collapsed="false">
      <c r="B1037" s="179"/>
    </row>
    <row r="1038" customFormat="false" ht="15.75" hidden="false" customHeight="false" outlineLevel="0" collapsed="false">
      <c r="B1038" s="179"/>
    </row>
    <row r="1039" customFormat="false" ht="15.75" hidden="false" customHeight="false" outlineLevel="0" collapsed="false">
      <c r="B1039" s="179"/>
    </row>
    <row r="1040" customFormat="false" ht="15.75" hidden="false" customHeight="false" outlineLevel="0" collapsed="false">
      <c r="B1040" s="179"/>
    </row>
    <row r="1041" customFormat="false" ht="15.75" hidden="false" customHeight="false" outlineLevel="0" collapsed="false">
      <c r="B1041" s="179"/>
    </row>
    <row r="1042" customFormat="false" ht="15.75" hidden="false" customHeight="false" outlineLevel="0" collapsed="false">
      <c r="B1042" s="179"/>
    </row>
    <row r="1043" customFormat="false" ht="15.75" hidden="false" customHeight="false" outlineLevel="0" collapsed="false">
      <c r="B1043" s="179"/>
    </row>
    <row r="1044" customFormat="false" ht="15.75" hidden="false" customHeight="false" outlineLevel="0" collapsed="false">
      <c r="B1044" s="179"/>
    </row>
    <row r="1045" customFormat="false" ht="15.75" hidden="false" customHeight="false" outlineLevel="0" collapsed="false">
      <c r="B1045" s="179"/>
    </row>
    <row r="1046" customFormat="false" ht="15.75" hidden="false" customHeight="false" outlineLevel="0" collapsed="false">
      <c r="B1046" s="179"/>
    </row>
    <row r="1047" customFormat="false" ht="15.75" hidden="false" customHeight="false" outlineLevel="0" collapsed="false">
      <c r="B1047" s="179"/>
    </row>
    <row r="1048" customFormat="false" ht="15.75" hidden="false" customHeight="false" outlineLevel="0" collapsed="false">
      <c r="B1048" s="179"/>
    </row>
    <row r="1049" customFormat="false" ht="15.75" hidden="false" customHeight="false" outlineLevel="0" collapsed="false">
      <c r="B1049" s="179"/>
    </row>
    <row r="1050" customFormat="false" ht="15.75" hidden="false" customHeight="false" outlineLevel="0" collapsed="false">
      <c r="B1050" s="179"/>
    </row>
    <row r="1051" customFormat="false" ht="15.75" hidden="false" customHeight="false" outlineLevel="0" collapsed="false">
      <c r="B1051" s="179"/>
    </row>
    <row r="1052" customFormat="false" ht="15.75" hidden="false" customHeight="false" outlineLevel="0" collapsed="false">
      <c r="B1052" s="179"/>
    </row>
    <row r="1053" customFormat="false" ht="15.75" hidden="false" customHeight="false" outlineLevel="0" collapsed="false">
      <c r="B1053" s="179"/>
    </row>
    <row r="1054" customFormat="false" ht="15.75" hidden="false" customHeight="false" outlineLevel="0" collapsed="false">
      <c r="B1054" s="179"/>
    </row>
    <row r="1055" customFormat="false" ht="15.75" hidden="false" customHeight="false" outlineLevel="0" collapsed="false">
      <c r="B1055" s="179"/>
    </row>
    <row r="1056" customFormat="false" ht="15.75" hidden="false" customHeight="false" outlineLevel="0" collapsed="false">
      <c r="B1056" s="179"/>
    </row>
    <row r="1057" customFormat="false" ht="15.75" hidden="false" customHeight="false" outlineLevel="0" collapsed="false">
      <c r="B1057" s="179"/>
    </row>
    <row r="1058" customFormat="false" ht="15.75" hidden="false" customHeight="false" outlineLevel="0" collapsed="false">
      <c r="B1058" s="179"/>
    </row>
    <row r="1059" customFormat="false" ht="15.75" hidden="false" customHeight="false" outlineLevel="0" collapsed="false">
      <c r="B1059" s="179"/>
    </row>
    <row r="1060" customFormat="false" ht="15.75" hidden="false" customHeight="false" outlineLevel="0" collapsed="false">
      <c r="B1060" s="179"/>
    </row>
    <row r="1061" customFormat="false" ht="15.75" hidden="false" customHeight="false" outlineLevel="0" collapsed="false">
      <c r="B1061" s="179"/>
    </row>
    <row r="1062" customFormat="false" ht="15.75" hidden="false" customHeight="false" outlineLevel="0" collapsed="false">
      <c r="B1062" s="179"/>
    </row>
    <row r="1063" customFormat="false" ht="15.75" hidden="false" customHeight="false" outlineLevel="0" collapsed="false">
      <c r="B1063" s="179"/>
    </row>
    <row r="1064" customFormat="false" ht="15.75" hidden="false" customHeight="false" outlineLevel="0" collapsed="false">
      <c r="B1064" s="179"/>
    </row>
    <row r="1065" customFormat="false" ht="15.75" hidden="false" customHeight="false" outlineLevel="0" collapsed="false">
      <c r="B1065" s="179"/>
    </row>
    <row r="1066" customFormat="false" ht="15.75" hidden="false" customHeight="false" outlineLevel="0" collapsed="false">
      <c r="B1066" s="179"/>
    </row>
    <row r="1067" customFormat="false" ht="15.75" hidden="false" customHeight="false" outlineLevel="0" collapsed="false">
      <c r="B1067" s="179"/>
    </row>
    <row r="1068" customFormat="false" ht="15.75" hidden="false" customHeight="false" outlineLevel="0" collapsed="false">
      <c r="B1068" s="179"/>
    </row>
    <row r="1069" customFormat="false" ht="15.75" hidden="false" customHeight="false" outlineLevel="0" collapsed="false">
      <c r="B1069" s="179"/>
    </row>
    <row r="1070" customFormat="false" ht="15.75" hidden="false" customHeight="false" outlineLevel="0" collapsed="false">
      <c r="B1070" s="179"/>
    </row>
    <row r="1071" customFormat="false" ht="15.75" hidden="false" customHeight="false" outlineLevel="0" collapsed="false">
      <c r="B1071" s="179"/>
    </row>
    <row r="1072" customFormat="false" ht="15.75" hidden="false" customHeight="false" outlineLevel="0" collapsed="false">
      <c r="B1072" s="179"/>
    </row>
    <row r="1073" customFormat="false" ht="15.75" hidden="false" customHeight="false" outlineLevel="0" collapsed="false">
      <c r="B1073" s="179"/>
    </row>
    <row r="1074" customFormat="false" ht="15.75" hidden="false" customHeight="false" outlineLevel="0" collapsed="false">
      <c r="B1074" s="179"/>
    </row>
    <row r="1075" customFormat="false" ht="15.75" hidden="false" customHeight="false" outlineLevel="0" collapsed="false">
      <c r="B1075" s="179"/>
    </row>
    <row r="1076" customFormat="false" ht="15.75" hidden="false" customHeight="false" outlineLevel="0" collapsed="false">
      <c r="B1076" s="179"/>
    </row>
    <row r="1077" customFormat="false" ht="15.75" hidden="false" customHeight="false" outlineLevel="0" collapsed="false">
      <c r="B1077" s="179"/>
    </row>
    <row r="1078" customFormat="false" ht="15.75" hidden="false" customHeight="false" outlineLevel="0" collapsed="false">
      <c r="B1078" s="179"/>
    </row>
    <row r="1079" customFormat="false" ht="15.75" hidden="false" customHeight="false" outlineLevel="0" collapsed="false">
      <c r="B1079" s="179"/>
    </row>
    <row r="1080" customFormat="false" ht="15.75" hidden="false" customHeight="false" outlineLevel="0" collapsed="false">
      <c r="B1080" s="179"/>
    </row>
    <row r="1081" customFormat="false" ht="15.75" hidden="false" customHeight="false" outlineLevel="0" collapsed="false">
      <c r="B1081" s="179"/>
    </row>
    <row r="1082" customFormat="false" ht="15.75" hidden="false" customHeight="false" outlineLevel="0" collapsed="false">
      <c r="B1082" s="179"/>
    </row>
    <row r="1083" customFormat="false" ht="15.75" hidden="false" customHeight="false" outlineLevel="0" collapsed="false">
      <c r="B1083" s="179"/>
    </row>
    <row r="1084" customFormat="false" ht="15.75" hidden="false" customHeight="false" outlineLevel="0" collapsed="false">
      <c r="B1084" s="179"/>
    </row>
    <row r="1085" customFormat="false" ht="15.75" hidden="false" customHeight="false" outlineLevel="0" collapsed="false">
      <c r="B1085" s="179"/>
    </row>
    <row r="1086" customFormat="false" ht="15.75" hidden="false" customHeight="false" outlineLevel="0" collapsed="false">
      <c r="B1086" s="179"/>
    </row>
    <row r="1087" customFormat="false" ht="15.75" hidden="false" customHeight="false" outlineLevel="0" collapsed="false">
      <c r="B1087" s="179"/>
    </row>
    <row r="1088" customFormat="false" ht="15.75" hidden="false" customHeight="false" outlineLevel="0" collapsed="false">
      <c r="B1088" s="179"/>
    </row>
    <row r="1089" customFormat="false" ht="15.75" hidden="false" customHeight="false" outlineLevel="0" collapsed="false">
      <c r="B1089" s="179"/>
    </row>
    <row r="1090" customFormat="false" ht="15.75" hidden="false" customHeight="false" outlineLevel="0" collapsed="false">
      <c r="B1090" s="179"/>
    </row>
    <row r="1091" customFormat="false" ht="15.75" hidden="false" customHeight="false" outlineLevel="0" collapsed="false">
      <c r="B1091" s="179"/>
    </row>
    <row r="1092" customFormat="false" ht="15.75" hidden="false" customHeight="false" outlineLevel="0" collapsed="false">
      <c r="B1092" s="179"/>
    </row>
    <row r="1093" customFormat="false" ht="15.75" hidden="false" customHeight="false" outlineLevel="0" collapsed="false">
      <c r="B1093" s="179"/>
    </row>
    <row r="1094" customFormat="false" ht="15.75" hidden="false" customHeight="false" outlineLevel="0" collapsed="false">
      <c r="B1094" s="179"/>
    </row>
    <row r="1095" customFormat="false" ht="15.75" hidden="false" customHeight="false" outlineLevel="0" collapsed="false">
      <c r="B1095" s="179"/>
    </row>
    <row r="1096" customFormat="false" ht="15.75" hidden="false" customHeight="false" outlineLevel="0" collapsed="false">
      <c r="B1096" s="179"/>
    </row>
    <row r="1097" customFormat="false" ht="15.75" hidden="false" customHeight="false" outlineLevel="0" collapsed="false">
      <c r="B1097" s="179"/>
    </row>
    <row r="1098" customFormat="false" ht="15.75" hidden="false" customHeight="false" outlineLevel="0" collapsed="false">
      <c r="B1098" s="179"/>
    </row>
    <row r="1099" customFormat="false" ht="15.75" hidden="false" customHeight="false" outlineLevel="0" collapsed="false">
      <c r="B1099" s="179"/>
    </row>
    <row r="1100" customFormat="false" ht="15.75" hidden="false" customHeight="false" outlineLevel="0" collapsed="false">
      <c r="B1100" s="179"/>
    </row>
    <row r="1101" customFormat="false" ht="15.75" hidden="false" customHeight="false" outlineLevel="0" collapsed="false">
      <c r="B1101" s="179"/>
    </row>
    <row r="1102" customFormat="false" ht="15.75" hidden="false" customHeight="false" outlineLevel="0" collapsed="false">
      <c r="B1102" s="179"/>
    </row>
    <row r="1103" customFormat="false" ht="15.75" hidden="false" customHeight="false" outlineLevel="0" collapsed="false">
      <c r="B1103" s="179"/>
    </row>
    <row r="1104" customFormat="false" ht="15.75" hidden="false" customHeight="false" outlineLevel="0" collapsed="false">
      <c r="B1104" s="179"/>
    </row>
    <row r="1105" customFormat="false" ht="15.75" hidden="false" customHeight="false" outlineLevel="0" collapsed="false">
      <c r="B1105" s="179"/>
    </row>
    <row r="1106" customFormat="false" ht="15.75" hidden="false" customHeight="false" outlineLevel="0" collapsed="false">
      <c r="B1106" s="179"/>
    </row>
    <row r="1107" customFormat="false" ht="15.75" hidden="false" customHeight="false" outlineLevel="0" collapsed="false">
      <c r="B1107" s="179"/>
    </row>
    <row r="1108" customFormat="false" ht="15.75" hidden="false" customHeight="false" outlineLevel="0" collapsed="false">
      <c r="B1108" s="179"/>
    </row>
    <row r="1109" customFormat="false" ht="15.75" hidden="false" customHeight="false" outlineLevel="0" collapsed="false">
      <c r="B1109" s="179"/>
    </row>
    <row r="1110" customFormat="false" ht="15.75" hidden="false" customHeight="false" outlineLevel="0" collapsed="false">
      <c r="B1110" s="179"/>
    </row>
    <row r="1111" customFormat="false" ht="15.75" hidden="false" customHeight="false" outlineLevel="0" collapsed="false">
      <c r="B1111" s="179"/>
    </row>
    <row r="1112" customFormat="false" ht="15.75" hidden="false" customHeight="false" outlineLevel="0" collapsed="false">
      <c r="B1112" s="179"/>
    </row>
    <row r="1113" customFormat="false" ht="15.75" hidden="false" customHeight="false" outlineLevel="0" collapsed="false">
      <c r="B1113" s="179"/>
    </row>
    <row r="1114" customFormat="false" ht="15.75" hidden="false" customHeight="false" outlineLevel="0" collapsed="false">
      <c r="B1114" s="179"/>
    </row>
    <row r="1115" customFormat="false" ht="15.75" hidden="false" customHeight="false" outlineLevel="0" collapsed="false">
      <c r="B1115" s="179"/>
    </row>
    <row r="1116" customFormat="false" ht="15.75" hidden="false" customHeight="false" outlineLevel="0" collapsed="false">
      <c r="B1116" s="179"/>
    </row>
    <row r="1117" customFormat="false" ht="15.75" hidden="false" customHeight="false" outlineLevel="0" collapsed="false">
      <c r="B1117" s="179"/>
    </row>
    <row r="1118" customFormat="false" ht="15.75" hidden="false" customHeight="false" outlineLevel="0" collapsed="false">
      <c r="B1118" s="179"/>
    </row>
    <row r="1119" customFormat="false" ht="15.75" hidden="false" customHeight="false" outlineLevel="0" collapsed="false">
      <c r="B1119" s="179"/>
    </row>
    <row r="1120" customFormat="false" ht="15.75" hidden="false" customHeight="false" outlineLevel="0" collapsed="false">
      <c r="B1120" s="179"/>
    </row>
    <row r="1121" customFormat="false" ht="15.75" hidden="false" customHeight="false" outlineLevel="0" collapsed="false">
      <c r="B1121" s="179"/>
    </row>
    <row r="1122" customFormat="false" ht="15.75" hidden="false" customHeight="false" outlineLevel="0" collapsed="false">
      <c r="B1122" s="179"/>
    </row>
    <row r="1123" customFormat="false" ht="15.75" hidden="false" customHeight="false" outlineLevel="0" collapsed="false">
      <c r="B1123" s="179"/>
    </row>
    <row r="1124" customFormat="false" ht="15.75" hidden="false" customHeight="false" outlineLevel="0" collapsed="false">
      <c r="B1124" s="179"/>
    </row>
    <row r="1125" customFormat="false" ht="15.75" hidden="false" customHeight="false" outlineLevel="0" collapsed="false">
      <c r="B1125" s="179"/>
    </row>
    <row r="1126" customFormat="false" ht="15.75" hidden="false" customHeight="false" outlineLevel="0" collapsed="false">
      <c r="B1126" s="179"/>
    </row>
    <row r="1127" customFormat="false" ht="15.75" hidden="false" customHeight="false" outlineLevel="0" collapsed="false">
      <c r="B1127" s="179"/>
    </row>
    <row r="1128" customFormat="false" ht="15.75" hidden="false" customHeight="false" outlineLevel="0" collapsed="false">
      <c r="B1128" s="179"/>
    </row>
    <row r="1129" customFormat="false" ht="15.75" hidden="false" customHeight="false" outlineLevel="0" collapsed="false">
      <c r="B1129" s="179"/>
    </row>
    <row r="1130" customFormat="false" ht="15.75" hidden="false" customHeight="false" outlineLevel="0" collapsed="false">
      <c r="B1130" s="179"/>
    </row>
    <row r="1131" customFormat="false" ht="15.75" hidden="false" customHeight="false" outlineLevel="0" collapsed="false">
      <c r="B1131" s="179"/>
    </row>
    <row r="1132" customFormat="false" ht="15.75" hidden="false" customHeight="false" outlineLevel="0" collapsed="false">
      <c r="B1132" s="179"/>
    </row>
    <row r="1133" customFormat="false" ht="15.75" hidden="false" customHeight="false" outlineLevel="0" collapsed="false">
      <c r="B1133" s="179"/>
    </row>
    <row r="1134" customFormat="false" ht="15.75" hidden="false" customHeight="false" outlineLevel="0" collapsed="false">
      <c r="B1134" s="179"/>
    </row>
    <row r="1135" customFormat="false" ht="15.75" hidden="false" customHeight="false" outlineLevel="0" collapsed="false">
      <c r="B1135" s="179"/>
    </row>
    <row r="1136" customFormat="false" ht="15.75" hidden="false" customHeight="false" outlineLevel="0" collapsed="false">
      <c r="B1136" s="179"/>
    </row>
    <row r="1137" customFormat="false" ht="15.75" hidden="false" customHeight="false" outlineLevel="0" collapsed="false">
      <c r="B1137" s="179"/>
    </row>
    <row r="1138" customFormat="false" ht="15.75" hidden="false" customHeight="false" outlineLevel="0" collapsed="false">
      <c r="B1138" s="179"/>
    </row>
    <row r="1139" customFormat="false" ht="15.75" hidden="false" customHeight="false" outlineLevel="0" collapsed="false">
      <c r="B1139" s="179"/>
    </row>
    <row r="1140" customFormat="false" ht="15.75" hidden="false" customHeight="false" outlineLevel="0" collapsed="false">
      <c r="B1140" s="179"/>
    </row>
    <row r="1141" customFormat="false" ht="15.75" hidden="false" customHeight="false" outlineLevel="0" collapsed="false">
      <c r="B1141" s="179"/>
    </row>
    <row r="1142" customFormat="false" ht="15.75" hidden="false" customHeight="false" outlineLevel="0" collapsed="false">
      <c r="B1142" s="179"/>
    </row>
    <row r="1143" customFormat="false" ht="15.75" hidden="false" customHeight="false" outlineLevel="0" collapsed="false">
      <c r="B1143" s="179"/>
    </row>
    <row r="1144" customFormat="false" ht="15.75" hidden="false" customHeight="false" outlineLevel="0" collapsed="false">
      <c r="B1144" s="179"/>
    </row>
    <row r="1145" customFormat="false" ht="15.75" hidden="false" customHeight="false" outlineLevel="0" collapsed="false">
      <c r="B1145" s="179"/>
    </row>
    <row r="1146" customFormat="false" ht="15.75" hidden="false" customHeight="false" outlineLevel="0" collapsed="false">
      <c r="B1146" s="179"/>
    </row>
    <row r="1147" customFormat="false" ht="15.75" hidden="false" customHeight="false" outlineLevel="0" collapsed="false">
      <c r="B1147" s="179"/>
    </row>
    <row r="1148" customFormat="false" ht="15.75" hidden="false" customHeight="false" outlineLevel="0" collapsed="false">
      <c r="B1148" s="179"/>
    </row>
    <row r="1149" customFormat="false" ht="15.75" hidden="false" customHeight="false" outlineLevel="0" collapsed="false">
      <c r="B1149" s="179"/>
    </row>
    <row r="1150" customFormat="false" ht="15.75" hidden="false" customHeight="false" outlineLevel="0" collapsed="false">
      <c r="B1150" s="179"/>
    </row>
    <row r="1151" customFormat="false" ht="15.75" hidden="false" customHeight="false" outlineLevel="0" collapsed="false">
      <c r="B1151" s="179"/>
    </row>
    <row r="1152" customFormat="false" ht="15.75" hidden="false" customHeight="false" outlineLevel="0" collapsed="false">
      <c r="B1152" s="179"/>
    </row>
    <row r="1153" customFormat="false" ht="15.75" hidden="false" customHeight="false" outlineLevel="0" collapsed="false">
      <c r="B1153" s="179"/>
    </row>
    <row r="1154" customFormat="false" ht="15.75" hidden="false" customHeight="false" outlineLevel="0" collapsed="false">
      <c r="B1154" s="179"/>
    </row>
    <row r="1155" customFormat="false" ht="15.75" hidden="false" customHeight="false" outlineLevel="0" collapsed="false">
      <c r="B1155" s="179"/>
    </row>
    <row r="1156" customFormat="false" ht="15.75" hidden="false" customHeight="false" outlineLevel="0" collapsed="false">
      <c r="B1156" s="179"/>
    </row>
    <row r="1157" customFormat="false" ht="15.75" hidden="false" customHeight="false" outlineLevel="0" collapsed="false">
      <c r="B1157" s="179"/>
    </row>
    <row r="1158" customFormat="false" ht="15.75" hidden="false" customHeight="false" outlineLevel="0" collapsed="false">
      <c r="B1158" s="179"/>
    </row>
    <row r="1159" customFormat="false" ht="15.75" hidden="false" customHeight="false" outlineLevel="0" collapsed="false">
      <c r="B1159" s="179"/>
    </row>
    <row r="1160" customFormat="false" ht="15.75" hidden="false" customHeight="false" outlineLevel="0" collapsed="false">
      <c r="B1160" s="179"/>
    </row>
    <row r="1161" customFormat="false" ht="15.75" hidden="false" customHeight="false" outlineLevel="0" collapsed="false">
      <c r="B1161" s="179"/>
    </row>
    <row r="1162" customFormat="false" ht="15.75" hidden="false" customHeight="false" outlineLevel="0" collapsed="false">
      <c r="B1162" s="179"/>
    </row>
    <row r="1163" customFormat="false" ht="15.75" hidden="false" customHeight="false" outlineLevel="0" collapsed="false">
      <c r="B1163" s="179"/>
    </row>
    <row r="1164" customFormat="false" ht="15.75" hidden="false" customHeight="false" outlineLevel="0" collapsed="false">
      <c r="B1164" s="179"/>
    </row>
    <row r="1165" customFormat="false" ht="15.75" hidden="false" customHeight="false" outlineLevel="0" collapsed="false">
      <c r="B1165" s="179"/>
    </row>
    <row r="1166" customFormat="false" ht="15.75" hidden="false" customHeight="false" outlineLevel="0" collapsed="false">
      <c r="B1166" s="179"/>
    </row>
    <row r="1167" customFormat="false" ht="15.75" hidden="false" customHeight="false" outlineLevel="0" collapsed="false">
      <c r="B1167" s="179"/>
    </row>
    <row r="1168" customFormat="false" ht="15.75" hidden="false" customHeight="false" outlineLevel="0" collapsed="false">
      <c r="B1168" s="179"/>
    </row>
    <row r="1169" customFormat="false" ht="15.75" hidden="false" customHeight="false" outlineLevel="0" collapsed="false">
      <c r="B1169" s="179"/>
    </row>
    <row r="1170" customFormat="false" ht="15.75" hidden="false" customHeight="false" outlineLevel="0" collapsed="false">
      <c r="B1170" s="179"/>
    </row>
    <row r="1171" customFormat="false" ht="15.75" hidden="false" customHeight="false" outlineLevel="0" collapsed="false">
      <c r="B1171" s="179"/>
    </row>
    <row r="1172" customFormat="false" ht="15.75" hidden="false" customHeight="false" outlineLevel="0" collapsed="false">
      <c r="B1172" s="179"/>
    </row>
    <row r="1173" customFormat="false" ht="15.75" hidden="false" customHeight="false" outlineLevel="0" collapsed="false">
      <c r="B1173" s="179"/>
    </row>
    <row r="1174" customFormat="false" ht="15.75" hidden="false" customHeight="false" outlineLevel="0" collapsed="false">
      <c r="B1174" s="179"/>
    </row>
    <row r="1175" customFormat="false" ht="15.75" hidden="false" customHeight="false" outlineLevel="0" collapsed="false">
      <c r="B1175" s="179"/>
    </row>
    <row r="1176" customFormat="false" ht="15.75" hidden="false" customHeight="false" outlineLevel="0" collapsed="false">
      <c r="B1176" s="179"/>
    </row>
    <row r="1177" customFormat="false" ht="15.75" hidden="false" customHeight="false" outlineLevel="0" collapsed="false">
      <c r="B1177" s="179"/>
    </row>
    <row r="1178" customFormat="false" ht="15.75" hidden="false" customHeight="false" outlineLevel="0" collapsed="false">
      <c r="B1178" s="179"/>
    </row>
    <row r="1179" customFormat="false" ht="15.75" hidden="false" customHeight="false" outlineLevel="0" collapsed="false">
      <c r="B1179" s="179"/>
    </row>
    <row r="1180" customFormat="false" ht="15.75" hidden="false" customHeight="false" outlineLevel="0" collapsed="false">
      <c r="B1180" s="179"/>
    </row>
    <row r="1181" customFormat="false" ht="15.75" hidden="false" customHeight="false" outlineLevel="0" collapsed="false">
      <c r="B1181" s="179"/>
    </row>
    <row r="1182" customFormat="false" ht="15.75" hidden="false" customHeight="false" outlineLevel="0" collapsed="false">
      <c r="B1182" s="179"/>
    </row>
    <row r="1183" customFormat="false" ht="15.75" hidden="false" customHeight="false" outlineLevel="0" collapsed="false">
      <c r="B1183" s="179"/>
    </row>
    <row r="1184" customFormat="false" ht="15.75" hidden="false" customHeight="false" outlineLevel="0" collapsed="false">
      <c r="B1184" s="179"/>
    </row>
    <row r="1185" customFormat="false" ht="15.75" hidden="false" customHeight="false" outlineLevel="0" collapsed="false">
      <c r="B1185" s="179"/>
    </row>
    <row r="1186" customFormat="false" ht="15.75" hidden="false" customHeight="false" outlineLevel="0" collapsed="false">
      <c r="B1186" s="179"/>
    </row>
    <row r="1187" customFormat="false" ht="15.75" hidden="false" customHeight="false" outlineLevel="0" collapsed="false">
      <c r="B1187" s="179"/>
    </row>
    <row r="1188" customFormat="false" ht="15.75" hidden="false" customHeight="false" outlineLevel="0" collapsed="false">
      <c r="B1188" s="179"/>
    </row>
    <row r="1189" customFormat="false" ht="15.75" hidden="false" customHeight="false" outlineLevel="0" collapsed="false">
      <c r="B1189" s="179"/>
    </row>
    <row r="1190" customFormat="false" ht="15.75" hidden="false" customHeight="false" outlineLevel="0" collapsed="false">
      <c r="B1190" s="179"/>
    </row>
    <row r="1191" customFormat="false" ht="15.75" hidden="false" customHeight="false" outlineLevel="0" collapsed="false">
      <c r="B1191" s="179"/>
    </row>
    <row r="1192" customFormat="false" ht="15.75" hidden="false" customHeight="false" outlineLevel="0" collapsed="false">
      <c r="B1192" s="179"/>
    </row>
    <row r="1193" customFormat="false" ht="15.75" hidden="false" customHeight="false" outlineLevel="0" collapsed="false">
      <c r="B1193" s="179"/>
    </row>
    <row r="1194" customFormat="false" ht="15.75" hidden="false" customHeight="false" outlineLevel="0" collapsed="false">
      <c r="B1194" s="179"/>
    </row>
    <row r="1195" customFormat="false" ht="15.75" hidden="false" customHeight="false" outlineLevel="0" collapsed="false">
      <c r="B1195" s="179"/>
    </row>
    <row r="1196" customFormat="false" ht="15.75" hidden="false" customHeight="false" outlineLevel="0" collapsed="false">
      <c r="B1196" s="179"/>
    </row>
    <row r="1197" customFormat="false" ht="15.75" hidden="false" customHeight="false" outlineLevel="0" collapsed="false">
      <c r="B1197" s="179"/>
    </row>
    <row r="1198" customFormat="false" ht="15.75" hidden="false" customHeight="false" outlineLevel="0" collapsed="false">
      <c r="B1198" s="179"/>
    </row>
    <row r="1199" customFormat="false" ht="15.75" hidden="false" customHeight="false" outlineLevel="0" collapsed="false">
      <c r="B1199" s="179"/>
    </row>
    <row r="1200" customFormat="false" ht="15.75" hidden="false" customHeight="false" outlineLevel="0" collapsed="false">
      <c r="B1200" s="179"/>
    </row>
    <row r="1201" customFormat="false" ht="15.75" hidden="false" customHeight="false" outlineLevel="0" collapsed="false">
      <c r="B1201" s="179"/>
    </row>
    <row r="1202" customFormat="false" ht="15.75" hidden="false" customHeight="false" outlineLevel="0" collapsed="false">
      <c r="B1202" s="179"/>
    </row>
    <row r="1203" customFormat="false" ht="15.75" hidden="false" customHeight="false" outlineLevel="0" collapsed="false">
      <c r="B1203" s="179"/>
    </row>
    <row r="1204" customFormat="false" ht="15.75" hidden="false" customHeight="false" outlineLevel="0" collapsed="false">
      <c r="B1204" s="179"/>
    </row>
    <row r="1205" customFormat="false" ht="15.75" hidden="false" customHeight="false" outlineLevel="0" collapsed="false">
      <c r="B1205" s="179"/>
    </row>
    <row r="1206" customFormat="false" ht="15.75" hidden="false" customHeight="false" outlineLevel="0" collapsed="false">
      <c r="B1206" s="179"/>
    </row>
    <row r="1207" customFormat="false" ht="15.75" hidden="false" customHeight="false" outlineLevel="0" collapsed="false">
      <c r="B1207" s="179"/>
    </row>
    <row r="1208" customFormat="false" ht="15.75" hidden="false" customHeight="false" outlineLevel="0" collapsed="false">
      <c r="B1208" s="179"/>
    </row>
    <row r="1209" customFormat="false" ht="15.75" hidden="false" customHeight="false" outlineLevel="0" collapsed="false">
      <c r="B1209" s="179"/>
    </row>
    <row r="1210" customFormat="false" ht="15.75" hidden="false" customHeight="false" outlineLevel="0" collapsed="false">
      <c r="B1210" s="179"/>
    </row>
    <row r="1211" customFormat="false" ht="15.75" hidden="false" customHeight="false" outlineLevel="0" collapsed="false">
      <c r="B1211" s="179"/>
    </row>
    <row r="1212" customFormat="false" ht="15.75" hidden="false" customHeight="false" outlineLevel="0" collapsed="false">
      <c r="B1212" s="179"/>
    </row>
    <row r="1213" customFormat="false" ht="15.75" hidden="false" customHeight="false" outlineLevel="0" collapsed="false">
      <c r="B1213" s="179"/>
    </row>
    <row r="1214" customFormat="false" ht="15.75" hidden="false" customHeight="false" outlineLevel="0" collapsed="false">
      <c r="B1214" s="179"/>
    </row>
    <row r="1215" customFormat="false" ht="15.75" hidden="false" customHeight="false" outlineLevel="0" collapsed="false">
      <c r="B1215" s="179"/>
    </row>
    <row r="1216" customFormat="false" ht="15.75" hidden="false" customHeight="false" outlineLevel="0" collapsed="false">
      <c r="B1216" s="179"/>
    </row>
    <row r="1217" customFormat="false" ht="15.75" hidden="false" customHeight="false" outlineLevel="0" collapsed="false">
      <c r="B1217" s="179"/>
    </row>
    <row r="1218" customFormat="false" ht="15.75" hidden="false" customHeight="false" outlineLevel="0" collapsed="false">
      <c r="B1218" s="179"/>
    </row>
    <row r="1219" customFormat="false" ht="15.75" hidden="false" customHeight="false" outlineLevel="0" collapsed="false">
      <c r="B1219" s="179"/>
    </row>
    <row r="1220" customFormat="false" ht="15.75" hidden="false" customHeight="false" outlineLevel="0" collapsed="false">
      <c r="B1220" s="179"/>
    </row>
    <row r="1221" customFormat="false" ht="15.75" hidden="false" customHeight="false" outlineLevel="0" collapsed="false">
      <c r="B1221" s="179"/>
    </row>
    <row r="1222" customFormat="false" ht="15.75" hidden="false" customHeight="false" outlineLevel="0" collapsed="false">
      <c r="B1222" s="179"/>
    </row>
    <row r="1223" customFormat="false" ht="15.75" hidden="false" customHeight="false" outlineLevel="0" collapsed="false">
      <c r="B1223" s="179"/>
    </row>
    <row r="1224" customFormat="false" ht="15.75" hidden="false" customHeight="false" outlineLevel="0" collapsed="false">
      <c r="B1224" s="179"/>
    </row>
    <row r="1225" customFormat="false" ht="15.75" hidden="false" customHeight="false" outlineLevel="0" collapsed="false">
      <c r="B1225" s="179"/>
    </row>
    <row r="1226" customFormat="false" ht="15.75" hidden="false" customHeight="false" outlineLevel="0" collapsed="false">
      <c r="B1226" s="179"/>
    </row>
    <row r="1227" customFormat="false" ht="15.75" hidden="false" customHeight="false" outlineLevel="0" collapsed="false">
      <c r="B1227" s="179"/>
    </row>
    <row r="1228" customFormat="false" ht="15.75" hidden="false" customHeight="false" outlineLevel="0" collapsed="false">
      <c r="B1228" s="179"/>
    </row>
    <row r="1229" customFormat="false" ht="15.75" hidden="false" customHeight="false" outlineLevel="0" collapsed="false">
      <c r="B1229" s="179"/>
    </row>
    <row r="1230" customFormat="false" ht="15.75" hidden="false" customHeight="false" outlineLevel="0" collapsed="false">
      <c r="B1230" s="179"/>
    </row>
    <row r="1231" customFormat="false" ht="15.75" hidden="false" customHeight="false" outlineLevel="0" collapsed="false">
      <c r="B1231" s="179"/>
    </row>
    <row r="1232" customFormat="false" ht="15.75" hidden="false" customHeight="false" outlineLevel="0" collapsed="false">
      <c r="B1232" s="179"/>
    </row>
    <row r="1233" customFormat="false" ht="15.75" hidden="false" customHeight="false" outlineLevel="0" collapsed="false">
      <c r="B1233" s="179"/>
    </row>
    <row r="1234" customFormat="false" ht="15.75" hidden="false" customHeight="false" outlineLevel="0" collapsed="false">
      <c r="B1234" s="179"/>
    </row>
    <row r="1235" customFormat="false" ht="15.75" hidden="false" customHeight="false" outlineLevel="0" collapsed="false">
      <c r="B1235" s="179"/>
    </row>
    <row r="1236" customFormat="false" ht="15.75" hidden="false" customHeight="false" outlineLevel="0" collapsed="false">
      <c r="B1236" s="179"/>
    </row>
    <row r="1237" customFormat="false" ht="15.75" hidden="false" customHeight="false" outlineLevel="0" collapsed="false">
      <c r="B1237" s="179"/>
    </row>
    <row r="1238" customFormat="false" ht="15.75" hidden="false" customHeight="false" outlineLevel="0" collapsed="false">
      <c r="B1238" s="179"/>
    </row>
    <row r="1239" customFormat="false" ht="15.75" hidden="false" customHeight="false" outlineLevel="0" collapsed="false">
      <c r="B1239" s="179"/>
    </row>
    <row r="1240" customFormat="false" ht="15.75" hidden="false" customHeight="false" outlineLevel="0" collapsed="false">
      <c r="B1240" s="179"/>
    </row>
    <row r="1241" customFormat="false" ht="15.75" hidden="false" customHeight="false" outlineLevel="0" collapsed="false">
      <c r="B1241" s="179"/>
    </row>
    <row r="1242" customFormat="false" ht="15.75" hidden="false" customHeight="false" outlineLevel="0" collapsed="false">
      <c r="B1242" s="179"/>
    </row>
    <row r="1243" customFormat="false" ht="15.75" hidden="false" customHeight="false" outlineLevel="0" collapsed="false">
      <c r="B1243" s="179"/>
    </row>
    <row r="1244" customFormat="false" ht="15.75" hidden="false" customHeight="false" outlineLevel="0" collapsed="false">
      <c r="B1244" s="179"/>
    </row>
    <row r="1048576" customFormat="false" ht="15.75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LibreOffice/6.3.0.4$Windows_X86_64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2023-04-03T12:08:51Z</dcterms:modified>
  <cp:revision>1</cp:revision>
  <dc:subject/>
  <dc:title/>
</cp:coreProperties>
</file>