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agentes, solventes e meios de" sheetId="1" r:id="rId4"/>
  </sheets>
  <definedNames>
    <definedName hidden="1" localSheetId="0" name="Z_DA8D3EC8_8EE0_4682_8C54_56EE6796B5ED_.wvu.FilterData">'Reagentes, solventes e meios de'!$A$1:$AO$177</definedName>
    <definedName hidden="1" localSheetId="0" name="Z_B2A60AB4_B4C4_47B1_8BF0_88974FD9676E_.wvu.FilterData">'Reagentes, solventes e meios de'!$A$1:$AZ$186</definedName>
  </definedNames>
  <calcPr/>
  <customWorkbookViews>
    <customWorkbookView activeSheetId="0" maximized="1" windowHeight="0" windowWidth="0" guid="{DA8D3EC8-8EE0-4682-8C54-56EE6796B5ED}" name="Filtro 1"/>
    <customWorkbookView activeSheetId="0" maximized="1" windowHeight="0" windowWidth="0" guid="{B2A60AB4-B4C4-47B1-8BF0-88974FD9676E}" name="Filtro 2"/>
  </customWorkbookViews>
</workbook>
</file>

<file path=xl/sharedStrings.xml><?xml version="1.0" encoding="utf-8"?>
<sst xmlns="http://schemas.openxmlformats.org/spreadsheetml/2006/main" count="1575" uniqueCount="830">
  <si>
    <t>NUMERO BANCO  DE PREÇO</t>
  </si>
  <si>
    <t>SIPAC</t>
  </si>
  <si>
    <t>DESCRIÇÃO</t>
  </si>
  <si>
    <t>NECESSIDADE</t>
  </si>
  <si>
    <t>UND_FORN</t>
  </si>
  <si>
    <t>CATMAT</t>
  </si>
  <si>
    <t>QTD Total</t>
  </si>
  <si>
    <t>AGROECOLOGIA/CECA</t>
  </si>
  <si>
    <t>ADMINISTRAÇÃO/PENEDO</t>
  </si>
  <si>
    <t>AGRONOMIA/ARAPIRACA</t>
  </si>
  <si>
    <t>AGRONOMIA/CECA</t>
  </si>
  <si>
    <t>BIOLOGIA/PENEDO</t>
  </si>
  <si>
    <t>CENTRO DE TECNOLOGIA</t>
  </si>
  <si>
    <t>ENFERMAGEM/ARAPIRACA</t>
  </si>
  <si>
    <t>ENGENHARIA DE ENERGIA/CECA</t>
  </si>
  <si>
    <t>ENGENHARIA DE PESCA/PENEDO</t>
  </si>
  <si>
    <t>ENGENHARIA DE PRODUÇÃO/PENEDO</t>
  </si>
  <si>
    <t>ENGENHARIA FLORESTAL/CECA</t>
  </si>
  <si>
    <t>ESCOLA DE ENFERMAGEM</t>
  </si>
  <si>
    <t>FACULDADE DE ODONTOLOGIA</t>
  </si>
  <si>
    <t>FACULDADE DE MEDICINA</t>
  </si>
  <si>
    <t>FÍSICA/ARAPIRACA</t>
  </si>
  <si>
    <t>HOSPITAL VETERINÁRIO/CECA</t>
  </si>
  <si>
    <t>INSTITUTO DE CIÊNCIAS BIOLÓGICAS</t>
  </si>
  <si>
    <t>INSTITUTO DE EDUCAÇÃO FÍSICA E ESPORTE</t>
  </si>
  <si>
    <t>INSTITUTO DE CIÊNCIAS FARMACÊUTICAS</t>
  </si>
  <si>
    <t>INSTITUTO DE QUÍMICA E BIOTECNOLOGIA</t>
  </si>
  <si>
    <t>MEDICINA/ARAPIRACA</t>
  </si>
  <si>
    <t>MHN/PROEX</t>
  </si>
  <si>
    <t>PINACOTECA/PROEX</t>
  </si>
  <si>
    <t>QUÍMICA E QUÍMICA EAD/ARAPIRACA</t>
  </si>
  <si>
    <t>RH/ARAPIRACA</t>
  </si>
  <si>
    <t>U.E. VIÇOSA/FAZENDA/CECA</t>
  </si>
  <si>
    <t>USINA CIÊNCIA/PROEX</t>
  </si>
  <si>
    <t>ZOOTECNIA CECA</t>
  </si>
  <si>
    <t>ZOOTECNIA/ARAPIRACA</t>
  </si>
  <si>
    <t>Cotador</t>
  </si>
  <si>
    <t>Valor 70%</t>
  </si>
  <si>
    <t>Valor máximo 130%</t>
  </si>
  <si>
    <t>Tem cotação?</t>
  </si>
  <si>
    <t>Está no SIPAC?</t>
  </si>
  <si>
    <t>Cidade</t>
  </si>
  <si>
    <t>Valor site 1</t>
  </si>
  <si>
    <t>Site 1</t>
  </si>
  <si>
    <t>DATA 1</t>
  </si>
  <si>
    <t>Valor site 2</t>
  </si>
  <si>
    <t>Site 2</t>
  </si>
  <si>
    <t>DATA2</t>
  </si>
  <si>
    <t>Valor site 3</t>
  </si>
  <si>
    <t>Site 3</t>
  </si>
  <si>
    <t>DATA 3</t>
  </si>
  <si>
    <t>Valor médio site</t>
  </si>
  <si>
    <t xml:space="preserve">ACETATO DE CÁLCIO P.A. (H2O)        </t>
  </si>
  <si>
    <t>CATMAT - 353821 - Acetato de cálcio, composição química C4H6CaO4.H2O, aspecto físico pó branco cristalino, peso molecular 176,18 g/mol, pureza mínima de 99%, característica adicional reagente P.A., número de referência química: cas 5743-26-0. fornecimento em frasco de 1000 g. Atenção: observar a unidade de medida do SIPAC e colocar múltiplo de 1000 g.</t>
  </si>
  <si>
    <t>G</t>
  </si>
  <si>
    <t>SIM</t>
  </si>
  <si>
    <t>Maceió</t>
  </si>
  <si>
    <t>Acetato De Calcio (H2O) (Monohidratado) Pa 500G Acs Cientifica - ACS REAGENTES</t>
  </si>
  <si>
    <t>ACETATO DE CALCIO H2O PA - 1KG - GLASSLAB - Materiais, Instrumentos e Equipamentos para Laboratório</t>
  </si>
  <si>
    <t>Acetato De Calcio H2O Pa 500G Exodo Cientifica - orionprodutoscientificos</t>
  </si>
  <si>
    <t>ACETATO DE ETILA P.A. ACS</t>
  </si>
  <si>
    <t>CATMAT - 380787 - Acetato de etila, aspecto físico líquido incolor, límpido, inflamável, pureza mínima de 99,5%, composição química CH3CO2C2H5, peso molecular 88,11 g/mol, característica adicional reagente P.A. ACS, número de referência química CAS 141-78-6.</t>
  </si>
  <si>
    <t>L</t>
  </si>
  <si>
    <t>Sivaldo</t>
  </si>
  <si>
    <t>https://www.acsreagentes.com.br/acetoacetato-de-etila-99-pa-1l-acs-cientifica?utm_source=Site&amp;utm_medium=GoogleMerchant&amp;utm_campaign=GoogleMerchant</t>
  </si>
  <si>
    <t>Acetoacetato De Etila 99% Pa 1L Acs Cientifica - orionprodutoscientificos</t>
  </si>
  <si>
    <t>ACETONA P.A.</t>
  </si>
  <si>
    <t>CATMAT -345904- Acetona, aspecto físico: líquido límpido transparente, fórmula química: C3H6O, massa molecular: 58,08 g/mol, grau de pureza: pureza mínima de 99,5%, característica adicional: reagente P.A., número de referência química: CAS 67-64-1</t>
  </si>
  <si>
    <t xml:space="preserve">ACETONA P.A. ACS        </t>
  </si>
  <si>
    <t>CATMAT -380786- Acetona, aspecto físico líquido límpido transparente, fórmula química C3H6O, massa molecular 58,08 g/mol, pureza mínima de 99,5%, característica adicional reagente P.A. ACS, número de referência química CAS 67-64-1.</t>
  </si>
  <si>
    <t>ACETONA PA ACS - 1L - GLASSLAB - Materiais, Instrumentos e Equipamentos para Laboratório</t>
  </si>
  <si>
    <t xml:space="preserve">ACETONITRILA HPLC	</t>
  </si>
  <si>
    <t>CATMAT -347148- Acetonitrila, aspecto físico: líquido incolor, límpido, odor de éter, peso molecular: 41,05 g/mol, fórmula química: CH3CN, pureza mínima de 99,9%, característica adicional: reagente para HPLC, número de referência química: CAS 75-05-8.</t>
  </si>
  <si>
    <t>Litro</t>
  </si>
  <si>
    <t>https://www.lojaprlabor.com.br/produtos/agua-para-hplc-lcms-4l-merck/?pf=gs&amp;gclid=Cj0KCQiA95aRBhCsARIsAC2xvfxuvi7SsVrm1_u0dfZMVvKT00XfcfpMZj0o_ZSHqx9Vn4wL6nyt9jMaAo9OEALw_wcB</t>
  </si>
  <si>
    <t>https://www.orionprodutoscientificos.com.br/acetonitrila-uv-hplc-espectroscopico-plus-4l-exodo-cientifica?utm_source=Site&amp;utm_medium=GoogleMerchant&amp;utm_campaign=GoogleMerchant</t>
  </si>
  <si>
    <t>https://www.glasslab.com.br/reagentes-e-meios/acetonitrila-hplc-4l?parceiro=6858</t>
  </si>
  <si>
    <t>ÁCIDO ACÉTICO P.A. ACS ISO</t>
  </si>
  <si>
    <t>CATMAT -345906- Ácido acético, aspecto físico: líquido límpido transparente, peso molecular: 60,05 g/mol, fórmula química: C2H4O2, pureza mínima de 99,7%, característica adicional: glacial, reagente P.A. ACS ISO, número de referência química: CAS 64-19-7</t>
  </si>
  <si>
    <t>ACIDO ACETICO GLACIAL PA ACS ISO - 1L - GLASSLAB - Materiais, Instrumentos e Equipamentos para Laboratório</t>
  </si>
  <si>
    <t xml:space="preserve">ÁCIDO ACÉTICO P.A. ACS	</t>
  </si>
  <si>
    <t>CATMAT -412648- Ácido acético, aspecto físico: líquido límpido transparente, peso molecular: 60,05 g/mol, fórmula química: C2H4O2, pureza mínima de 99,5%, característica adicional: glacial, reagente P.A. ACS, número de referência química: CAS 64-19-7.</t>
  </si>
  <si>
    <t>ACIDO ACETICO GLACIAL PA ACS - 1L - GLASSLAB - Materiais, Instrumentos e Equipamentos para Laboratório</t>
  </si>
  <si>
    <t xml:space="preserve">ÁCIDO BÓRICO P.A. ACS        </t>
  </si>
  <si>
    <t xml:space="preserve">CATMAT -426587- Ácido bórico, aspecto físico: cristal incolor ou pó, grânulo branco, inodoro, peso molecular: 61,83 g/mol, composição química: H3BO3, pureza mínima de 99,5%, característica adicional: reagente P.A. ACS, número de referência química: CAS 10043-35-3. </t>
  </si>
  <si>
    <t>KG</t>
  </si>
  <si>
    <t>ACIDO BORICO PA ACS - 1KG - GLASSLAB - Materiais, Instrumentos e Equipamentos para Laboratório</t>
  </si>
  <si>
    <t xml:space="preserve">ÁCIDO CLORÍDRICO PA ACS
</t>
  </si>
  <si>
    <t>CATMAT -347336- Ácido clorídrico, aspecto físico líquido límpido, incolor/amarelado, fumegante, peso molecular 36,46 g/mol, fórmula química HCl, teor mínimo de 37%, característica adicional reagente P.A. ACS, número de referência química CAS 7647-01-0.</t>
  </si>
  <si>
    <t>ACIDO CLORIDRICO 37% PA ACS - 1L - GLASSLAB - Materiais, Instrumentos e Equipamentos para Laboratório</t>
  </si>
  <si>
    <t xml:space="preserve">ÁCIDO FOSFÓRICO P.A. </t>
  </si>
  <si>
    <t>CATMAT -352710- Ácido fosfórico, aspecto físico líquido incolor, inodoro, fórmula química H3PO4, peso molecular 98,00 g/mol, pureza mínima de 85%, característica adicional reagente P.A., número de referência química CAS 7664-38-2</t>
  </si>
  <si>
    <t>Acido Fosforico-Orto 85% Pa Acs 1L Acs Cientifica - ACS REAGENTES</t>
  </si>
  <si>
    <t>Acido Fosfórico 85% PA ACS 1L - Laderquimica - Laderquimica - Linha completa de reagentes e produtos para laboratórios</t>
  </si>
  <si>
    <t>JGLab | Acido Fosforico 85% PA ACS 1L</t>
  </si>
  <si>
    <t>ACIDO GÁLICO (H2O) P.A.</t>
  </si>
  <si>
    <t xml:space="preserve">CATMAT -346506- Ácido gálico composição química: C6H2(OH)3COOH.H2O aspecto físico: pó ou fino cristal branco ou bege, pureza mínima de 98% peso molecular: 188,14 g/mol, característica adicional: reagente P.A. número de referência química: CAS 5995-86-8, fornecimento em frasco de 100 g. Atenção: observar a unidade de medida do SIPAC e colocar múltiplo de 100 g.
</t>
  </si>
  <si>
    <t>GRAMA</t>
  </si>
  <si>
    <t>Acido galico pa 100gr - Dinamica (cromoslab.com.br)</t>
  </si>
  <si>
    <t>Ácido Gálico Monohidratado P.A./ACS 100 g Fabricante Neon - orionprodutoscientificos</t>
  </si>
  <si>
    <t>JGLab | Acido Galico PA 100g</t>
  </si>
  <si>
    <t>ÁCIDO MALÔNICO</t>
  </si>
  <si>
    <t>CATMAT -357778- Ácido malônico, aspecto físico: pó branco cristalino, peso molecular: 104,06 g/mol, fórmula química: CH2(COOH)2, pureza mínima de 99%, característica adicional: número de referência química: CAS 141-82-2, entregue em frasco com 100 g. Atenção: observar a unidade de medida do SIPAC e colocar múltiplo de 100 g.</t>
  </si>
  <si>
    <t>Acido Malonico Pa 100G Acs Cientifica - ACS REAGENTES</t>
  </si>
  <si>
    <t>ACIDO MALONICO PA - 100G - GLASSLAB - Materiais, Instrumentos e Equipamentos para Laboratório</t>
  </si>
  <si>
    <t>Acido Malonico Pa 100G Exodo Cientifica - orionprodutoscientificos</t>
  </si>
  <si>
    <t xml:space="preserve">ÁCIDO NÍTRICO P.A. ACS
</t>
  </si>
  <si>
    <t>CATMAT -347320- Ácido nítrico, aspecto físico líquido límpido, incolor a amarelado, odor sufocante, fórmula química HNO3, peso molecular 63,01, teor mínimo 65%, característica adicional reagente P.A. ACS, número de referência química CAS 7697-37-2.</t>
  </si>
  <si>
    <t>https://www.glasslab.com.br/reagentes-e-meios/acido-nitrico-65-pa-acs-iso-1l?parceiro=6858</t>
  </si>
  <si>
    <t xml:space="preserve">ÁCIDO OXÁLICO (2H2O) P.A. ACS	</t>
  </si>
  <si>
    <t>CATMAT - 347156 - Ácido oxálico, aspecto físico: cristal ou pó branco cristalino higroscópico, peso molecular: 126,07 g/mol, fórmula química: C2H2O4.2H2O, pureza mínima de 99,5%, característica adicional: reagente P.A. ACS, número de referência química: CAS 6153-56-6, entregue em frasco com 500 g. Atenção: observar a unidade de medida do SIPAC e colocar múltiplo de 500 g.</t>
  </si>
  <si>
    <t>ACIDO OXALICO CRISTAL 2H2O PA - 500G - GLASSLAB - Materiais, Instrumentos e Equipamentos para Laboratório</t>
  </si>
  <si>
    <t>JGLab | Acido Oxalico Cristal 2H2O PA ACS</t>
  </si>
  <si>
    <t>Acido Oxalico Cristal (2H2O) Pa 500G Acs Cientifica - orionprodutoscientificos</t>
  </si>
  <si>
    <t xml:space="preserve">ÁCIDO PERCLÓRICO P.A.        </t>
  </si>
  <si>
    <t>CATMAT -366457- Ácido perclórico, aspecto físico líquido incolor ou levemente amarelado, peso molecular 100,46 g/mol, fórmula química HCLO4, grau de pureza concentração mínima de 70%, característica adicional reagente P.A., número de referência química CAS 7601-90-3.</t>
  </si>
  <si>
    <t>ACIDO PERCLORICO 70% PA ACS - 1L - GLASSLAB - Materiais, Instrumentos e Equipamentos para Laboratório</t>
  </si>
  <si>
    <t xml:space="preserve">ÁCIDO PERIÓDICO SCHIFF (PAS) </t>
  </si>
  <si>
    <t>CATMAT -355518- Corante, tipo: conjunto coloração ácido periódico, schiff, aspecto físico: líquido, composição: solução ácido periódico, reagente schiff, componentes adicionais: hematoxilin. entregue em frasco de 500  mL. Atenção: observar a unidade de medida do SIPAC e colocar múltiplo de 500 mL.</t>
  </si>
  <si>
    <t>mL</t>
  </si>
  <si>
    <t>NÃO</t>
  </si>
  <si>
    <t>https://www.acsreagentes.com.br/reativo-schiff-reativo-p-aldeidos-500ml-acs-cientifica?utm_source=Site&amp;utm_medium=GoogleMerchant&amp;utm_campaign=GoogleMerchant</t>
  </si>
  <si>
    <t>https://www.orionprodutoscientificos.com.br/reativo-schiff-reativo-p-aldeidos-500ml-exodo-cientifica?utm_source=Site&amp;utm_medium=GoogleMerchant&amp;utm_campaign=GoogleMerchant</t>
  </si>
  <si>
    <t>https://www.lojaprolab.com.br/solucao-schiff-reativo-80751?utm_source=google&amp;utm_medium=feed&amp;utm_campaign=shopping</t>
  </si>
  <si>
    <t>ÁCIDO SALICÍLICO P.A.</t>
  </si>
  <si>
    <t>CATMAT -366458- Ácido salicílico, aspecto físico: pó cristalino branco, peso molecular: 138,12 g,mol, fórmula química: ho.c6h4.cooh anidro, grau de pureza: pureza mínima de 99%, característica adicional: reagente p.a., número de referência química: cas 69-72-7, entregue em frasco de 100g. Atenção: observar a unidade de medida do SIPAC e colocar múltiplo de 100 g.</t>
  </si>
  <si>
    <t>ÁCIDO SULFÚRICO FUMEGANTE P.A.</t>
  </si>
  <si>
    <t>CATMAT -347290- Ácido sulfúrico, aspecto físico: líquido incolor, fumegante, viscoso, cristalino, fórmula química: H2SO4, massa molecular: 98,09 g/mol, pureza mínima de 99,99%, característica adicional: reagente P.A., número de referência química: CAS 7664-93-9</t>
  </si>
  <si>
    <t xml:space="preserve">ÁCIDO SULFÚRICO PA ACS
</t>
  </si>
  <si>
    <t>CATMAT -380384- Ácido sulfúrico, aspecto físico: líquido incolor, inodoro, viscoso, cristalino, fórmula química: H2SO4, massa molecular: 98,09 g/mol, pureza mínima de 95%, característica adicional: reagente P.A. ACS, número de referência química: CAS 7664-93-9.</t>
  </si>
  <si>
    <t>Cj0KCQiAr5iQBhCsARIsAPcwRONOxhvmtdp1LQSIKlSelA8IargtcikBKY7QJmV__zVZLMdeaYzg0YIaAh7aEALw_wcB</t>
  </si>
  <si>
    <t>https://myhexis.com.br/index.php?option=com_movimentacao&amp;op=PROD&amp;busca%5Btexto%5D=%C1CIDO+SULF%DARICO+pa+acs</t>
  </si>
  <si>
    <t>https://www.glasslab.com.br/reagentes-e-meios/acido-sulfurico-pa-acs-iso-1l?parceiro=6858</t>
  </si>
  <si>
    <t xml:space="preserve">ÁCIDO TRICLOROACÉTICO P.A. ACS	</t>
  </si>
  <si>
    <t>CATMAT - 412736 - Ácido tricloroacético, aspecto físico: cristais brancos, fórmula química: CCl3COOH, massa molecular: 163,39 g/mol, pureza mínima de 99%, característica adicional: reagente P.A. ACS, número de referência química: CAS 76-03-9, entregue em frasco de 500 g. Atenção: observar a unidade de medida do SIPAC e colocar múltiplo de 500 g.</t>
  </si>
  <si>
    <t>Ácido Tricloroacético P.A. 500 g Fabricante Neon - orionprodutoscientificos</t>
  </si>
  <si>
    <t>JGLab | Acido Tricloroacetico PA ACS</t>
  </si>
  <si>
    <t>Acido Tricloroacetico Pa Acs 500G Acs Cientifica - ACS REAGENTES</t>
  </si>
  <si>
    <t xml:space="preserve">ÁGAR ÁGAR FRASCO 500 G	</t>
  </si>
  <si>
    <t>CATMAT -397085- Ágar, tipo: ágar ágar, aspecto físico: pó, característica adicional: puro. frascos com 500 g</t>
  </si>
  <si>
    <t>FRASCO</t>
  </si>
  <si>
    <t>JGLab | Agar-Agar Nacional 500g</t>
  </si>
  <si>
    <t>Agar Agar (Original) 500G Acs Cientifica - ACS REAGENTES</t>
  </si>
  <si>
    <t>https://www.orionprodutoscientificos.com.br/agar-agar-original-500g-acs-cientifica?utm_source=Site&amp;utm_medium=GoogleMerchant&amp;utm_campaign=GoogleMerchant</t>
  </si>
  <si>
    <t xml:space="preserve">ÁGAR BACTERIOLÓGICO - FRASCO 500G
</t>
  </si>
  <si>
    <t>CATMAT -387015- Ágar bacteriológico, aspecto físico: pó, frasco 500 g</t>
  </si>
  <si>
    <t>JGLab | Ágar Ágar Bacteriológico Nacional 500g</t>
  </si>
  <si>
    <t>Agar Bacteriológico Frasco 500g - Kasvi (lojaprlabor.com.br)</t>
  </si>
  <si>
    <t>Agar Bacteriológico 500g Himedia - ForlabExpress</t>
  </si>
  <si>
    <t>ÁGAR BASE COLUMBIA FRASCO 500 G</t>
  </si>
  <si>
    <t>CATMAT -326286- Meio de cultura, tipo: ágar base Columbia, apresentação: pó, frasco 500 g.</t>
  </si>
  <si>
    <t>https://www.lojalab.com.br/produto_agar-base-columbia---frasco-500g_1136#descricao_produto</t>
  </si>
  <si>
    <t>https://www.forlabexpress.com.br/agar-sangue-base-frasco-500g-himedia?parceiro=3512</t>
  </si>
  <si>
    <t>https://jglab.com.br/produto/agar-base-sangue-columbia-500g/</t>
  </si>
  <si>
    <t>ÁGAR BATATA DEXTROSADO (BDA) FRASCO DE 500 G</t>
  </si>
  <si>
    <t>CATMAT -326288- Meio de cultura, tipo: ágar batata dextrosado, apresentação: pó. frasco 500 g.</t>
  </si>
  <si>
    <t>https://www.forlabexpress.com.br/agar-batata-dextrose-kasvi-frasco-500g?parceiro=3512</t>
  </si>
  <si>
    <t>https://www.orionprodutoscientificos.com.br/caldo-batata-dextrose-frasco-500g-himedia?utm_source=Site&amp;utm_medium=GoogleMerchant&amp;utm_campaign=GoogleMerchant</t>
  </si>
  <si>
    <t>https://jglab.com.br/produto/caldo-batata-dextrose-500g/</t>
  </si>
  <si>
    <t xml:space="preserve">ÁGAR BILE ESCULINA 500 G	</t>
  </si>
  <si>
    <t>CATMAT - 405927 Descrição: Meio de cultura., tipo: ágar bile esculina, aspecto físico: pó. Frasco com 500 G</t>
  </si>
  <si>
    <t>https://www.forlabexpress.com.br/agar-bile-esculina-frasco-500g-himedia?parceiro=3512&amp;gclid=Cj0KCQiAmKiQBhClARIsAKtSj-mc6sCtdkWnFVCCCWWf49c1cbV8rKeF8qlpPbW2QaE_nKT9dAehMW0aAh_OEALw_wcB</t>
  </si>
  <si>
    <t>https://www.lojalab.com.br/produto_agar-bile-esculina---frasco-500g_1193</t>
  </si>
  <si>
    <t>https://www.dsyslab.com.br/meios-de-cultura/agar-em-po-desidratado/agar-bile-esculina-himedia</t>
  </si>
  <si>
    <t>ÁGAR CROMOGÊNICO E. COLI O157:H7 FRASCO 500 G</t>
  </si>
  <si>
    <t>CATMAT -434588- Meio de cultura, tipo: ágar cromogênico E. coli o157:h7, apresentação: pó, frasco 500 g.</t>
  </si>
  <si>
    <t xml:space="preserve">ÁGAR LISINA FERRO (LIA) 500G        </t>
  </si>
  <si>
    <t xml:space="preserve">CATMAT - 326814 Descrição: Meio de cultura, tipo: ágar lisina ferro, apresentação: pó, frasco com 500 g
</t>
  </si>
  <si>
    <t>https://www.forlabexpress.com.br/agar-lisina-ferro-lia-frasco-500g-himedia?parceiro=3512&amp;gclid=Cj0KCQiAmKiQBhClARIsAKtSj-mxT8n5OOxSafXWumBOGySK2y93ncusOkZJv6OsFN2yNCnuRKPBw1MaAi32EALw_wcB</t>
  </si>
  <si>
    <t>https://www.orionprodutoscientificos.com.br/agar-lisina-ferro-lia-frasco-500g-himedia?utm_source=Site&amp;utm_medium=GoogleMerchant&amp;utm_campaign=GoogleMerchant</t>
  </si>
  <si>
    <t>https://www.dsyslab.com.br/meios-de-cultura/agar-em-po-desidratado/agar-lisina-ferro-lia-kasvi</t>
  </si>
  <si>
    <t xml:space="preserve">ÁGAR MACCONKEY 500 G        </t>
  </si>
  <si>
    <t xml:space="preserve">CATMAT - 326284 Descrição: Meio de cultura, tipo: ágar macconkey, apresentação: pó. Frasco com 500 G
</t>
  </si>
  <si>
    <t>https://jglab.com.br/produto/agar-macconkey-500g/?gclid=Cj0KCQiAmKiQBhClARIsAKtSj-nx_4zt8daNal-xszBBtbKUYmj59wOFaiLKLX_fMBlzpKcwC-8SXQ0aAh1QEALw_wcB</t>
  </si>
  <si>
    <t>https://www.lojalab.com.br/produto_agar-macconkey.--frasco-500-g_1144</t>
  </si>
  <si>
    <t>https://www.orionprodutoscientificos.com.br/caldo-mac-conkey-frasco-500g-himedia?utm_source=Site&amp;utm_medium=GoogleMerchant&amp;utm_campaign=GoogleMerchant</t>
  </si>
  <si>
    <t xml:space="preserve">ÁGAR MUELLER HINTON - FRASCO DE 500 G	</t>
  </si>
  <si>
    <t xml:space="preserve">CATMAT -326282-Ágar Mueller Hinton, Meio de cultura, apresentação: pó Frasco 500 g
</t>
  </si>
  <si>
    <t>https://www.lojalab.com.br/produto_agar-mueller-hinton.--frasco-500-g_1147</t>
  </si>
  <si>
    <t>https://www.orionprodutoscientificos.com.br/caldo-mueller-hinton-frasco-500g-himedia?utm_source=Site&amp;utm_medium=GoogleMerchant&amp;utm_campaign=GoogleMerchant</t>
  </si>
  <si>
    <t>https://indavidas.com.br/shop/uncategorized/agar-mueller-hinton-frasco-500g/</t>
  </si>
  <si>
    <t>ÁGAR SABOURAUD DEXTROSE 4% FRASCO DE 500 G</t>
  </si>
  <si>
    <t>CATMAT -326297- Meio de cultura, tipo ágar Sabouraud dextrose 4%, apresentação pó. acondicionado em frasco de 500 g.</t>
  </si>
  <si>
    <t>https://jglab.com.br/produto/caldo-sabouraud-dextrose-500g/?gclid=Cj0KCQiAmKiQBhClARIsAKtSj-mB9UJDjAv0CM7s4NSI-rEx27SpUKrI_02twyQvbGsBwcjsezt_qzUaArzHEALw_wcB</t>
  </si>
  <si>
    <t>https://www.lojalab.com.br/produto_agar-sabouraud-dextrose.--frasco-500-g_1176</t>
  </si>
  <si>
    <t>https://www.rmdistribuidorasc.com.br/MLB-1468025714-agar-batata-dextrose-frasco-500g-_JM</t>
  </si>
  <si>
    <t>ÁGAR SABOURAUD DEXTROSE COM CLORANFENICOL E CICLOEXIMIDA 500G</t>
  </si>
  <si>
    <t>CATMAT -338021- Meio de cultura., tipo: ágar Sabouraud dextrose, aspecto físico: pó, aditivos: com cloranfenicol e cicloeximida, frasco 500 g</t>
  </si>
  <si>
    <t>ÁGAR SANGUE FRASCO DE 500 G</t>
  </si>
  <si>
    <t>CATMAT -326299- Meio de cultura, tipo: ágar sangue, apresentação: pó, frasco 500 g</t>
  </si>
  <si>
    <t>https://www.forlabexpress.com.br/agar-sangue-base-frasco-500g-himedia?parceiro=3512&amp;gclid=Cj0KCQiAmKiQBhClARIsAKtSj-kRaf6Bu-038chcnqC5nDJbKDaOMlU6DB5rG_Ofi4am8EplXPcp6_0aAn9YEALw_wcB</t>
  </si>
  <si>
    <t>https://www.rmdistribuidorasc.com.br/MLB-1944697801-agar-sangue-base-frasco-500g-_JM?utm_source=google&amp;utm_medium=cpc&amp;utm_campaign=darwin_ss</t>
  </si>
  <si>
    <t>https://www.lojaprlabor.com.br/produtos/agar-bacteriologico-frasco-500g-kasvi/?pf=gs&amp;gclid=Cj0KCQiAmKiQBhClARIsAKtSj-lbNzkJ6-exU8UzFjUh5tAZPmHPjI8PHTnNJj7mi4gMRy0DmcDhk7QaAkUtEALw_wcB</t>
  </si>
  <si>
    <t>ÁGAR SIM FRASCO DE 500 G</t>
  </si>
  <si>
    <t>CATMAT -326812- Meio de cultura, tipo: ágar sim, apresentação: pó, frasco 500 g</t>
  </si>
  <si>
    <t>414,12,</t>
  </si>
  <si>
    <t>https://www.forlabexpress.com.br/meio-sim-frasco-500g-himedia?parceiro=3512</t>
  </si>
  <si>
    <t>https://www.lojalab.com.br/produto_meio-sim.-frasco-500-g_1187</t>
  </si>
  <si>
    <t>https://www.vitchlab.com.br/laboratorial/meio-de-cultivo/meio-sim-frasco-500g?parceiro=7632</t>
  </si>
  <si>
    <t>ÁGAR TSI FRASCO DE 500 G</t>
  </si>
  <si>
    <t xml:space="preserve">
CATMAT -326303- Meio de cultura, tipo: ágar tsi, apresentação: pó, frasco 500 g</t>
  </si>
  <si>
    <t>https://www.forlabexpress.com.br/agar-triplice-acucar-ferro-tsi-frasco-500g-himedia?parceiro=3512&amp;gclid=Cj0KCQiAmKiQBhClARIsAKtSj-nBX3PjF1NvuySSy2_2Twi_C40bTNenNxvmmwPKoNnVOXv_2TNJlk4aAg6uEALw_wcB</t>
  </si>
  <si>
    <t>https://www.glasslab.com.br/reagentes-e-meios/agar-triplice-acucar-ferro-tsi-frasco-500g-k25-1046-kasvi?parceiro=6858</t>
  </si>
  <si>
    <t>https://www.orionprodutoscientificos.com.br/agar-triplice-acucar-ferro-tsi-frasco-500g-himedia?utm_source=Site&amp;utm_medium=GoogleMerchant&amp;utm_campaign=GoogleMerchant</t>
  </si>
  <si>
    <t xml:space="preserve">ÁGAR URÉIA DE CHRISTENSEN 500G </t>
  </si>
  <si>
    <t>CATMAT -326867- Meio de cultura, tipo: ágar ureia de christensen, apresentação: pó, frasco 500 g</t>
  </si>
  <si>
    <t>https://jglab.com.br/produto/agar-base-ureia-agar-base-ureia-de-christensen-500g/?gclid=Cj0KCQiAmKiQBhClARIsAKtSj-kionYiU9-td32AMFDhzHyaYlbZJbHAmVt6UmgcXIUwukc6wYQEB8oaAg6iEALw_wcB</t>
  </si>
  <si>
    <t>https://www.dsyslab.com.br/meios-de-cultura/agar-em-po-desidratado/agar-base-ureia-christensen-himedia</t>
  </si>
  <si>
    <t>https://www.submarino.com.br/produto/3565931363?epar=bp_pl_00_go_smartshopping_belezaesaude_geral_gmv&amp;epar=bp_pl_00_go_smartshopping_belezaesaude_geral_gmv&amp;opn=XMLGOOGLE&amp;WT.srch=1&amp;offerId=60f5b2c10fff249a3273b9d0&amp;utm_medium=buscappc&amp;utm_source=google&amp;utm_campaign=marca%3Asuba%3Bmidia%3Abuscappc%3Bformato%3Apla%3Bsubformato%3A00%3Bidcampanha%3Asmartshopping_belezaesaude_geral_gmv&amp;gclid=Cj0KCQiAmKiQBhClARIsAKtSj-k72oE78I5cMCitmnKH3LY5LxGARzlavajK6hPVcuElji-2xUxh3UoaAhgnEALw_wcB&amp;embalagem=Frasco%20com%20500%20gramas</t>
  </si>
  <si>
    <t xml:space="preserve">ÁGUA DESTILADA PARA AUTOCLAVE GALÃO COM 5 L	</t>
  </si>
  <si>
    <t>CATMAT - 352317 - Água destilada, aspecto físico: estéril e apirogênica, tipo embalagem: em sistema fechado, galão com 5 L.</t>
  </si>
  <si>
    <t>GALÃO</t>
  </si>
  <si>
    <t>https://www.utilidadesclinicas.com.br/agua-destilada-5l-ssplus-ssp20884a.html</t>
  </si>
  <si>
    <t>https://www.distribuidorasensitive.com.br/galao-5-litros-agua-destilada-asfer?utm_source=Site&amp;utm_medium=GoogleMerchant&amp;utm_campaign=GoogleMerchant</t>
  </si>
  <si>
    <t>https://www.lojasnovaeracosmeticos.com.br/agua-destilada-repos-5000ml/p</t>
  </si>
  <si>
    <t xml:space="preserve">ÁGUA PEPTONADA TAMPONADA FRASCO 500 G </t>
  </si>
  <si>
    <t xml:space="preserve">CATMAT -392832- Meio de cultura, tipo: água peptonada tamponada, apresentação: pó 500g </t>
  </si>
  <si>
    <t>https://www.forlabexpress.com.br/agua-peptonada-tamponada-frasco-500g-himedia?parceiro=3512&amp;gclid=Cj0KCQiAmKiQBhClARIsAKtSj-l0A0nbf1CqlOXOeBMhhSg4EQD3cl1hR_K5FwO9uxe9PREI7udaL38aArdpEALw_wcB</t>
  </si>
  <si>
    <t>https://jglab.com.br/produto/agua-peptonada-tamponada-bpw-iso-500g/?gclid=Cj0KCQiAmKiQBhClARIsAKtSj-k1DBdpfmL0dCP5wULTSGaIsSr39FJUjoRrsgHMwbzE17bptxCOVUAaApWMEALw_wcB</t>
  </si>
  <si>
    <t>https://www.orionprodutoscientificos.com.br/agua-peptona-tamponada-frasco-500g-himedia?utm_source=Site&amp;utm_medium=GoogleMerchant&amp;utm_campaign=GoogleMerchant</t>
  </si>
  <si>
    <t>ALARANJADO DE METILA FRASCO 25 G</t>
  </si>
  <si>
    <t>CATMAT -327370- Alaranjado de metila, fórmula química: C14H14N3NaO3S, peso molecular: 327,34 g/mol, aspecto físico: pó, características adicionais: CI 13025, número de referência química: CAS 547-58-0. Frasco com 25g.</t>
  </si>
  <si>
    <t>https://www.orionprodutoscientificos.com.br/alaranjado-de-metila-pa-acs-25g-acs-cientifica?utm_source=Site&amp;utm_medium=GoogleMerchant&amp;utm_campaign=GoogleMerchant</t>
  </si>
  <si>
    <t>https://www.laderquimica.com.br/alaranjado-de-metila-pa-acs-25g-neon?utm_source=Site&amp;utm_medium=GoogleMerchant&amp;utm_campaign=GoogleMerchant</t>
  </si>
  <si>
    <t>https://www.glasslab.com.br/reagentes-e-meios/vermelho-de-metila-pa-acs-25g?parceiro=6858</t>
  </si>
  <si>
    <t>ÁLCOOL BUTÍLICO NORMAL (1-BUTANOL) P.A. ACS</t>
  </si>
  <si>
    <t>CATMAT -380790- Álcool butílico, aspecto físico: líquido límpido, incolor, odor forte característico, peso molecular: 74,12 g/mol, fórmula química: C4H9OH normal (1-butanol), pureza mínima de 99,4%, característica adicional: reagente P.A. ACS, número de referência química: CAS 71-36-3.</t>
  </si>
  <si>
    <t>MyHexis - Site de compras da Hexis Científica</t>
  </si>
  <si>
    <t>ALCOOL BUTILICO PA 1-BUTANOL 1L - Didática SP (didaticasp.com.br)</t>
  </si>
  <si>
    <t>Alcool Butilico Normal Paacs (Butanol-1) 1L Acs Cientifica - ACS REAGENTES</t>
  </si>
  <si>
    <t>15/22/2022</t>
  </si>
  <si>
    <t>ÁLCOOL ETÍLICO 70 %</t>
  </si>
  <si>
    <t>CATMAT -269943- Álcool etílico, tipo: hidratado, teor alcoólico: 70% (70° GL), apresentação: líquido</t>
  </si>
  <si>
    <t>https://www.utilidadesclinicas.com.br/alcool-prolink-70-1l-prolink-pro15274a.html?gclid=CjwKCAiAgbiQBhAHEiwAuQ6BkqEcZTi4U5p3DMKTqQjU8KHRSNuJV-Se9Q3DvDQ6KrcgxoPzLawlEhoChakQAvD_BwE</t>
  </si>
  <si>
    <t>https://www.oceanob2b.com/alcool-liquido-70-1l--p1016301?tsid=16&amp;gclid=CjwKCAiAgbiQBhAHEiwAuQ6BktItDKiY0Pmz931Q_DbM2nsAfEfhrfBEI_2iZXqLt7m0ooe42vxcvhoCyx8QAvD_BwE</t>
  </si>
  <si>
    <t>https://www.dentalmaster.com.br/alcool-etilico-hidratado-70----prolink-/p?idsku=2008559</t>
  </si>
  <si>
    <t>ÁLCOOL ETÍLICO 70% GLICERINADO 5L</t>
  </si>
  <si>
    <t>CATMAT -443454- Álcool etílico, teor alcoólico: 70% p,p (70 °gl), composição básica: glicerinado, características adicionais: com bico dosador, galão de 5 L.</t>
  </si>
  <si>
    <t>https://www.lojaduettosuper.com.br/alcool-liquido-glicerinado-duetto-5-litros-promocao-2101</t>
  </si>
  <si>
    <t>ÁLCOOL ETÍLICO 96 % CEREAIS</t>
  </si>
  <si>
    <t>CATMAT -376801- Álcool etílico, aspecto físico: de cereais, hidratado, líquido límpido, incolor, teor alcoólico: mínimo de 96° GL, fórmula química: C2H5OH, peso molecular: 46,07 g/mol, mínimo de 93° INPM, número de referência química: CAS 64-17-5</t>
  </si>
  <si>
    <t>https://www.alecrimessenciaria.com.br/alcool-cereais-96?utm_source=Site&amp;utm_medium=GoogleMerchant&amp;utm_campaign=GoogleMerchant&amp;sku=6ZE3PYTEW-1lt</t>
  </si>
  <si>
    <t>https://www.casadosquimicos.com.br/materia-prima/alcool-de-cereais-1-l?parceiro=7072</t>
  </si>
  <si>
    <t>https://www.casadosquimicos.com.br/materia-prima/alcool-de-cereais-5l?parceiro=7072</t>
  </si>
  <si>
    <t xml:space="preserve">ÁLCOOL ETÍLICO ABSOLUTO P.A. ACS        </t>
  </si>
  <si>
    <t>CATMAT - 357239 - Álcool etílico, aspecto físico: líquido límpido, incolor, volátil, teor alcoólico: mínimo de 96°GL, fórmula química: C2H5OH, peso molecular: 46,07 g/mol, característica adicional: absoluto, reagente P.A. ACS, número de referência química: CAS 64-17-5.</t>
  </si>
  <si>
    <t>https://www.acsreagentes.com.br/alcool-etilico-absoluto-998-pa-acs-5l-acs-cientifica?utm_source=Site&amp;utm_medium=GoogleMerchant&amp;utm_campaign=GoogleMerchant</t>
  </si>
  <si>
    <t>https://www.glasslab.com.br/reagentes-e-meios/alcool-etilico-abs-pa-acs-99-5-1l?parceiro=6858</t>
  </si>
  <si>
    <t>https://www.orionprodutoscientificos.com.br/alcool-etilico-absoluto-998-pa-acs-1l-frasco-de-vidro-acs-cientifica?utm_source=Site&amp;utm_medium=GoogleMerchant&amp;utm_campaign=GoogleMerchant</t>
  </si>
  <si>
    <t>ÁLCOOL ETÍLICO P.A. ACS ISO</t>
  </si>
  <si>
    <t>CATMAT -445457- Álcool etílico, aspecto físico: líquido, fórmula química: C2H5OH, peso molecular: 46,07 g/mol, pureza mínima de 99,9%, característica adicional: absoluto, reagente P.A. ACS ISO, número de referência química: CAS 64-17-</t>
  </si>
  <si>
    <t xml:space="preserve">ÁLCOOL ETÍLICO PUREZA MÍNIMA 96 %        </t>
  </si>
  <si>
    <t>CATMAT - 444849 - Álcool etílico, aspecto físico: líquido, fórmula química: C2H6O, peso molecular: 46,07 g/mol, pureza mínima de 96%, número de referência química: CAS 64-17-5, no momento da requisição o requisitante deverá informar se será entregue em garrafa de 1 L ou galão de 5 L.</t>
  </si>
  <si>
    <t>https://www.dentalspeed.com/modelo/alcool-prolink-96-1l-prolink-15275</t>
  </si>
  <si>
    <t>https://www.dentalmaster.com.br/alcool-etilico-hidratado-96----prolink/p?idsku=2008560</t>
  </si>
  <si>
    <t>https://www.linhaforte.com/produto/%C3%A1lcool-et%C3%ADlico-96%C2%BA-inpm-1-litro-facilita-audax</t>
  </si>
  <si>
    <t xml:space="preserve">ÁLCOOL ISOPROPÍLICO HPLC	</t>
  </si>
  <si>
    <t>CATMAT -443272- Álcool propílico, aspecto físico: líquido, fórmula química:C3H8O (isopropílico ou iso-propanol), peso molecular : 60,10 g/mol, pureza mínima de 99,9%, número de referência química: CAS 67-63-0, características adicionais 1: grau HPLC.</t>
  </si>
  <si>
    <t>2-Propanol for HPLC, 99.9 67-63-0 (sigmaaldrich.com)</t>
  </si>
  <si>
    <t>JGLab | Alcool Isopropilico UV/HPLC/Espectroscopia 1L</t>
  </si>
  <si>
    <t>ALCOOL ISOPROPILICO 1L UV/HPLC ESPECTROSCOPICO - Didática SP (didaticasp.com.br)</t>
  </si>
  <si>
    <t>ALCOOL ISOPROPILICO P.A.</t>
  </si>
  <si>
    <t>CATMAT -348275- Álcool propílico, aspecto físico: líquido límpido, incolor, odor característico, fórmula química: (CH3)2CHOH (isopropílico ou isopropanol), peso molecular: 60,10 g/mol, pureza mínima de 99,5%, característica adicional: reagente P.A., número de referência química: CAS 67-63-0</t>
  </si>
  <si>
    <t>ALCOOL ISOPROPILICO 2-PROPANOL PA 1L - Didática SP (didaticasp.com.br)</t>
  </si>
  <si>
    <t>Álcool Isopropílico P.A. 1000 mL Fabricante Neon - orionprodutoscientificos</t>
  </si>
  <si>
    <t>ÁLCOOL METÍLICO P.A. ACS</t>
  </si>
  <si>
    <t>CATMAT - 348266 - Álcool metílico, aspecto físico: líquido límpido, incolor, odor característico, fórmula química: CH3OH, peso molecular: 32,04 g/mol, pureza mínima de 99,8%, característica adicional: reagente P.A. ACS, número de referência química: cas 67-56-1.</t>
  </si>
  <si>
    <t>ALCOOL METILICO PA ACS - 1L - GLASSLAB - Materiais, Instrumentos e Equipamentos para Laboratório</t>
  </si>
  <si>
    <t>Alcool Metilico Pa Acs 1L Acs Cientifica - ACS REAGENTES</t>
  </si>
  <si>
    <t xml:space="preserve">ÁLCOOL METÍLICO UV HPLC	</t>
  </si>
  <si>
    <t>CATMAT - 348267- Álcool metílico, aspecto físico líquido límpido, incolor, odor característico, fórmula química CH3OH, peso molecular 32,04 g/mol, grau de pureza mínima de 99,8%, características adicional reagente para UV HPLC, número de referência química: CAS 67-56-1</t>
  </si>
  <si>
    <t>ALCOOL METILICO HPLC - 1L - GLASSLAB - Materiais, Instrumentos e Equipamentos para Laboratório</t>
  </si>
  <si>
    <t>ALCOOL METILICO UV/HPLC ESPECTROSCOPICO 1L - Didática SP (didaticasp.com.br)</t>
  </si>
  <si>
    <t>JGLab | Alcool Metilico UV/HPLC/Espectroscopia 1L</t>
  </si>
  <si>
    <t xml:space="preserve">AMIDO P.A. ACS        </t>
  </si>
  <si>
    <t>CATMAT - 432146 - Amido, aspecto físico: pó fino branco a esbranquiçado, inodoro, característica adicional: reagente P.A. ACS, número de referência química: CAS 9005-84-9, entregue em frasco com 500 g. Atenção: observar a unidade de medida do SIPAC e colocar múltiplo de 500 g.</t>
  </si>
  <si>
    <t>https://www.orionprodutoscientificos.com.br/amido-soluvel-pa-acs-500g-exodo-cientifica?utm_source=Site&amp;utm_medium=GoogleMerchant&amp;utm_campaign=GoogleMerchant</t>
  </si>
  <si>
    <t>https://jglab.com.br/produto/amido-soluvel-pa-acs-500g/</t>
  </si>
  <si>
    <t>AZUL ALCIAN 10G</t>
  </si>
  <si>
    <t>CATMAT -357757- Corante, tipo: azul alcian, aspecto físico: pó, características adicionais: CI 74240, frasco 10 g.</t>
  </si>
  <si>
    <t>https://www.orionprodutoscientificos.com.br/azul-de-alcian-alcian-blue-ci-74240-10g-exodo-cientifica?utm_source=Site&amp;utm_medium=GoogleMerchant&amp;utm_campaign=GoogleMerchant</t>
  </si>
  <si>
    <t>https://jglab.com.br/produto/azul-de-alcian-ci-74240-10g/</t>
  </si>
  <si>
    <t>https://www.glasslab.com.br/reagentes-e-meios/azul-de-alcian-ci-74240-pa-10g?parceiro=6858</t>
  </si>
  <si>
    <t>AZUL DE CRESIL BRILHANTE CI 51010 PARA CONTAGEM DE RETICULÓCITOS
 FRASCO 100ML</t>
  </si>
  <si>
    <t>CATMAT -357757- Corante para contagem de reticulócitos azul de cresil brilhante CI 51010,  solução frasco 100mL</t>
  </si>
  <si>
    <t>https://www.mmcomercio.net.br/produto/azul-cresil-brilhante-1-reticulocitos-100ml-laborclin.html?utm_source=Site&amp;utm_medium=GoogleMerchant&amp;utm_campaign=GoogleMerchant</t>
  </si>
  <si>
    <t>AZUL DE BROMOTIMOL P.A.</t>
  </si>
  <si>
    <t>CATMAT -327396- Azul de bromotimol composição química C27H28Br2O5S, aspecto físico: pó, massa molar 624,40 g/mol, característica adicional reagente P.A., número de referência química CAS 76-59-5, entregue em frasco com 25 g. Atenção: observar a unidade de medida do SIPAC e colocar múltiplo de 25 g.</t>
  </si>
  <si>
    <t>https://www.acsreagentes.com.br/azul-de-bromotimol-pa-25g-acs-cientifica?utm_source=Site&amp;utm_medium=GoogleMerchant&amp;utm_campaign=GoogleMerchant</t>
  </si>
  <si>
    <t>https://www.lojasynth.com/reagentes-analiticosmaterias-primas/reagentes-analiticosmaterias-primas/azul-de-bromotimol-p-a-a-c-s?parceiro=2827</t>
  </si>
  <si>
    <t>https://www.dsyslab.com.br/reagentes/azul/azul-bromotimol-p-aacs-cas-76-59-5-neon</t>
  </si>
  <si>
    <t>AZUL DE METILA CI 42780</t>
  </si>
  <si>
    <t>CATMAT -327374- Corante, tipo: azul de metila, aspecto físico: pó, características adicionais: ci 42780, entregue em frasco de 25 g. Atenção: observar a unidade de medida do SIPAC e colocar múltiplo de 25 g.</t>
  </si>
  <si>
    <t>https://www.biomedh.com.br/007219/azul-de-metila-ci42780--25gr.html</t>
  </si>
  <si>
    <t>https://ludwigbiotec.com.br/loja/produto/azul-de-metila-ci-42780-25g/677</t>
  </si>
  <si>
    <t>https://www.orionprodutoscientificos.com.br/azul-de-metila-ci-42780-25g-acs-cientifica</t>
  </si>
  <si>
    <t>AZUL DE METILENO CI 52015 FRASCO 25 G</t>
  </si>
  <si>
    <t>CATMAT -331361- Corante, tipo: azul de metileno, aspecto físico: pó, características adicionais: CI 52015, reagente P.A. frasco 25 g</t>
  </si>
  <si>
    <t>https://www.acsreagentes.com.br/azul-de-metileno-ci-52015-25g-acs-cientifica</t>
  </si>
  <si>
    <t>https://www.glasslab.com.br/reagentes-e-meios/azul-de-metileno-pa-ci-52015-25g?parceiro=6858</t>
  </si>
  <si>
    <t>https://www.laderquimica.com.br/azul-de-metileno-pa-25g-c-i-52015-neon?utm_source=Site&amp;utm_medium=GoogleMerchant&amp;utm_campaign=GoogleMerchant</t>
  </si>
  <si>
    <t xml:space="preserve">BICARBONATO DE SÓDIO P.A.        </t>
  </si>
  <si>
    <t>CATMAT -401189- Bicarbonato de sódio, aspecto físico: pó branco, fino, peso molecular: 84,01 g/mol, fórmula química: NaHCO3, pureza mínima de 99%, característica adicional: reagente P.A., número de referência química CAS 144-55-8, entregue em frasco com 500 g. Atenção: observar a unidade de medida do SIPAC e colocar múltiplo de 500 g.</t>
  </si>
  <si>
    <t>https://www.glasslab.com.br/reagentes-e-meios/bicarbonato-de-sodio-pa-500g?parceiro=6858</t>
  </si>
  <si>
    <t>https://www.acsreagentes.com.br/bicarbonato-de-sodio-pa-500g-acs-cientifica</t>
  </si>
  <si>
    <t>https://www.orionprodutoscientificos.com.br/bicarbonato-de-sodio-p-a-acs-500-g-fabricante-neon?utm_source=Site&amp;utm_medium=GoogleMerchant&amp;utm_campaign=GoogleMerchant</t>
  </si>
  <si>
    <t>BILE BOVINA PARA MEIO DE CULTURA</t>
  </si>
  <si>
    <t>CATMAT -355032- Suplemento para meio de cultura, tipo: bile bovina, aspecto físico: dessecada, concentração: mínimo 40% ácidos biliares, frasco 500 g</t>
  </si>
  <si>
    <t>BROMETO DE CETILTRIMETILAMONIO (CTAB)</t>
  </si>
  <si>
    <t>CATMAT -382201- Brometo de cetiltrimetilamônio, aspecto físico: pó branco cristalino, fórmula química: (CH3)(CH2)15N(Br)(ch3)3, peso molecular: 364,45 g/mol, pureza mínima de 99%, número de referência química: CAS: 57-09-0, entregue em fraco de 100 g. Atenção: observar a unidade de medida do SIPAC e colocar múltiplo de 100 g.</t>
  </si>
  <si>
    <t>https://www.acsreagentes.com.br/brometo-de-cetiltrimetilamonio-ctab500g-acs-cientifica?utm_source=Site&amp;utm_medium=GoogleMerchant&amp;utm_campaign=GoogleMerchant</t>
  </si>
  <si>
    <t>https://www.orionprodutoscientificos.com.br/brometo-de-cetiltrimetilamonio-ctab-100g-exodo-cientifica?utm_source=Site&amp;utm_medium=GoogleMerchant&amp;utm_campaign=GoogleMerchant</t>
  </si>
  <si>
    <t>https://jglab.com.br/produto/cetremide-ctab/?attribute_embalagem=100g</t>
  </si>
  <si>
    <t>BROMETO DE POTÁSSIO P.A.</t>
  </si>
  <si>
    <t>CATMAT -347625- Brometo de potássio, aspecto físico: cristal incolor ou esbranquiçado, inodoro, peso molecular: 119 g/mol, fórmula química: KBr, pureza mínima de 99%, característica adicional: reagente P.A., número de referência química: CAS 7758-02-3, entregue em frasco de 250 g. Atenção: observar a unidade de medida do SIPAC e colocar múltiplo de 250 g.</t>
  </si>
  <si>
    <t>https://www.acsreagentes.com.br/brometo-de-potassio-pa-250g-acs-cientifica</t>
  </si>
  <si>
    <t>https://www.laderquimica.com.br/brometo-de-potassio-pa-acs-250g-dinamica?utm_source=Site&amp;utm_medium=GoogleMerchant&amp;utm_campaign=GoogleMerchant</t>
  </si>
  <si>
    <t>https://www.glasslab.com.br/reagentes-e-meios/brometo-de-potassio-pa-acs-250g?parceiro=6858</t>
  </si>
  <si>
    <t>BROMETO DE SÓDIO P.A.</t>
  </si>
  <si>
    <t>CATMAT -355882- Brometo de sódio, aspecto físico: pó, cristais ou grânulos brancos, inodoros, peso molecular: 102,89 g/mol, fórmula química: NaBr, pureza mínima de 99%, característica adicional: reagente P.A., número de referência química: CAS 7647-15-6.</t>
  </si>
  <si>
    <t>https://www.glasslab.com.br/reagentes-e-meios/brometo-de-sodio-pa-1kg?parceiro=6858</t>
  </si>
  <si>
    <t>https://jglab.com.br/produto/brometo-de-sodio-pa/?attribute_embalagem=1kg</t>
  </si>
  <si>
    <t>https://www.orionprodutoscientificos.com.br/brometo-de-sodio-p-a-1000-g-fabricante-neon</t>
  </si>
  <si>
    <t xml:space="preserve">CALDO CÉREBRO E CORAÇÃO (BRAIN HEART INFUSION BHI) FRASCO 500 G        </t>
  </si>
  <si>
    <t>CATMAT -326882- Caldo cérebro e coração (BRAIN HEART INFUSION BHI) Meio de cultura, apresentação: pó, Frasco com 500 g</t>
  </si>
  <si>
    <t>https://www.lkpdiagnosticos.com.br/meios-de-cultura/7115-agar-cerebro-coracao-brain-heart-infusion-agar-bhi-500g-</t>
  </si>
  <si>
    <t>https://www.glasslab.com.br/reagentes-e-meios/agar-infusao-cerebro-e-coracao-bhi-frasco-500g-k25-610007-kasvi?parceiro=6858</t>
  </si>
  <si>
    <t>https://www.vitchlab.com.br/laboratorial/meio-de-cultivo/agar-infusao-cerebro-coracao-bhi-frasco-500-g-k25-1048?parceiro=7632</t>
  </si>
  <si>
    <t>CALDO NUTRIENTE 500 G</t>
  </si>
  <si>
    <t>CATMAT -415707- Meio de cultura,, tipo: caldo nutriente, apresentação: pó, frasco 500 g</t>
  </si>
  <si>
    <t>https://jglab.com.br/produto/caldo-nutriente-500g/?gclid=Cj0KCQiA3rKQBhCNARIsACUEW_ZOV0pGeCAHetCw0quza-wzUAij50Nc5bmAGMt4tXPStMYw_zc8C0UaAs9gEALw_wcB</t>
  </si>
  <si>
    <t>https://www.americanas.com.br/produto/3565912461?epar=bp_pl_00_go_ab_todas_geral_gmv&amp;opn=YSMESP&amp;WT.srch=1&amp;gclid=Cj0KCQiA3rKQBhCNARIsACUEW_au4MhQXxRDPYqaoOPSUXgCpjZqWrCMNZ2-b-MR-WUbXEKWESKBBoIaAtqKEALw_wcB&amp;embalagem=Frasco%20com%20500%20gramas</t>
  </si>
  <si>
    <t>https://www.lojalab.com.br/produto_caldo-nutriente---frasco-500g_1150</t>
  </si>
  <si>
    <t>CALDO TIOGLICOLATO FRASCO DE 500 G</t>
  </si>
  <si>
    <t>CATMAT -326310- Meio de cultura, tipo: caldo tioglicolato, apresentação: pó, frasco 500 g</t>
  </si>
  <si>
    <t>https://www.lojalab.com.br/produto_meio-tioglicolato.--frasco-500-g_1157</t>
  </si>
  <si>
    <t>https://www.dsyslab.com.br/meios-de-cultura/meios/meio-tioglicolato-fluido-fluido-meio-tioglicolato-frasco-com-500-gramas-mod-m009-500g-himedia</t>
  </si>
  <si>
    <t>https://jglab.com.br/produto/meio-tioglicolato-fluido-500g/?gclid=Cj0KCQiA3rKQBhCNARIsACUEW_b9Yq-Xy9lzugmTG2SaNyQQRQYxPxuzCHQ6Xbsb4yxSJ5usZMdj6TAaAiQvEALw_wcB</t>
  </si>
  <si>
    <t>CARBONATO DE SÓDIO ANIDRO P.A. ACS</t>
  </si>
  <si>
    <t>CATMAT -347958- Carbonato de sódio, aspecto físico: pó ou cristais brancos, higroscópicos, inodoros, fórmula química: NA2CO3 anidro, peso molecular: 105,99 g/mol, grau de pureza: pureza mínima de 99,5%, característica adicional: reagente P.A., número de referência química: CAS 497-19-8, entregue em frasco de 500 g. Atenção: observar a unidade de medida do SIPAC e colocar múltiplo de 500 g.</t>
  </si>
  <si>
    <t>CATMAT -347959- Carbonato de sódio aspecto físico: pó ou cristais brancos, higroscópicos, inodoros, fórmula química: Na2CO3 anidro peso molecular: 105,99 g/mol, pureza mínima de 99,5%, característica adicional: reagente P.A. ACS, número de referência química: CAS 497-19-8, entregue em frasco de 1000 g. Atenção: observar a unidade de medida do SIPAC e colocar múltiplo de 1000 g.</t>
  </si>
  <si>
    <t>https://jglab.com.br/produto/carbonato-de-sodio-anidro-pa-acs-500g/?gclid=Cj0KCQiAu62QBhC7ARIsALXijXRhImsUxmQSULbMsHnYg6gE7lMA-z2Y0NM3CPRVT6wiiPCPQystU6waAlvMEALw_wcB</t>
  </si>
  <si>
    <t>https://www.orionprodutoscientificos.com.br/carbonato-de-sodio-anidro-pa-acs-500g-exodo-cientifica?utm_source=Site&amp;utm_medium=GoogleMerchant&amp;utm_campaign=GoogleMerchant</t>
  </si>
  <si>
    <t>https://www.acsreagentes.com.br/carbonato-de-sodio-anidro-pa-acs-500g-acs-cientifica</t>
  </si>
  <si>
    <t>CARVÃO ATIVADO P.A.</t>
  </si>
  <si>
    <t>CATMAT -348073- Carvão ativado, aspecto físico: pó preto, inodoro, peso molecular: 12,01 g/mol, fórmula química: C, pureza mínima de 90%, característica adicional: reagente P.A., número de referência química: CAS 7440-44-0. Entregue em frasco com 500 g. Atenção: observar a unidade de medida do SIPAC e colocar múltiplo de 500 g.</t>
  </si>
  <si>
    <t>https://www.orionprodutoscientificos.com.br/carvao-ativo-em-po-pa-500g-acs-cientifica?utm_source=Site&amp;utm_medium=GoogleMerchant&amp;utm_campaign=GoogleMerchant</t>
  </si>
  <si>
    <t>https://www.acsreagentes.com.br/carvao-ativo-em-po-pa-250g-acs-cientifica</t>
  </si>
  <si>
    <t>https://jglab.com.br/produto/carvao-ativo-em-po-pa-500g/</t>
  </si>
  <si>
    <t xml:space="preserve">CLORETO DE ALUMÍNIO (6H2O) P.A.	</t>
  </si>
  <si>
    <t>CATMAT -374776- Cloreto de alumínio, composição: AlCl3.6H2O (hexa-hidratado), peso molecular: 241,43 g/mol, aspecto físico: pó cristalino amarelado a alaranjado, pureza mínima de 99%, número de referência química, reagentes P.A., número de referência química CAS 7784-13-6. Entregue em frasco com 500 g. Atenção: observar a unidade de medida do SIPAC e colocar múltiplo de 500 g.</t>
  </si>
  <si>
    <t>https://www.laderquimica.com.br/cloreto-de-aluminio-6h2o-pa-500g-dinamica?utm_source=Site&amp;utm_medium=GoogleMerchant&amp;utm_campaign=GoogleMerchant</t>
  </si>
  <si>
    <t>https://www.orionprodutoscientificos.com.br/cloreto-de-aluminio-6h2o-pa-500g-exodo-cientifica?utm_source=Site&amp;utm_medium=GoogleMerchant&amp;utm_campaign=GoogleMerchant</t>
  </si>
  <si>
    <t>https://jglab.com.br/produto/cloreto-de-aluminio-6h2o-pa/?attribute_embalagem=500g&amp;gclid=Cj0KCQiAu62QBhC7ARIsALXijXS8MmIpDjz35Jhltscpq65uIqPE0ttJjCaHRTwE78FziMGOsfVTQi8aAoInEALw_wcB</t>
  </si>
  <si>
    <t xml:space="preserve">CLORETO DE BÁRIO (2H2O) P.A. ACS        </t>
  </si>
  <si>
    <t>CATMAT -380439- Cloreto de bário, aspecto físico: pó ou grânulo cristalino, incolor ou branco, fórmula química: BaCl2.2H2O, massa molecular: 244,27 g/mol, pureza mínima de 99%, característica adicional: reagente P.A. ACS, número de referência química: CAS 10326-27-9. Entregue em frasco de 500 g. Atenção: observar a unidade de medida do SIPAC e colocar múltiplo de 500 g.</t>
  </si>
  <si>
    <t>https://www.glasslab.com.br/reagentes-e-meios/cloreto-de-bario-2h2o-pa-acs-1kg?parceiro=6858&amp;gclid=Cj0KCQiAu62QBhC7ARIsALXijXQiUMD9tSSa8eNPLfW7c85ce-LfIz0_VgDjE9f1booYdSp3KVn9aqAaAlYKEALw_wcB</t>
  </si>
  <si>
    <t>https://www.orionprodutoscientificos.com.br/cloreto-de-bario-2h2o-pa-acs-1kg-exodo-cientifica?utm_source=Site&amp;utm_medium=GoogleMerchant&amp;utm_campaign=GoogleMerchant</t>
  </si>
  <si>
    <t>https://www.acsreagentes.com.br/cloreto-de-bario-2h2o-pa-acs-1kg-acs-cientifica</t>
  </si>
  <si>
    <t>CLORETO DE CÁLCIO P.A. (2H2O)</t>
  </si>
  <si>
    <t>CATMAT -412633- Cloreto de cálcio, aspecto físico: pó, granulado ou escama branca ou rosada, opaca, fórmula química: CaCl2.2H2O, massa molecular: 147,01 g/mol, pureza mínima de 99%, característica adicional: reagente P.A., número de referência química: CAS 10035-04-8.</t>
  </si>
  <si>
    <t>https://www.glasslab.com.br/reagentes-e-meios/cloreto-de-calcio-2h2o-pa-500g?parceiro=6858</t>
  </si>
  <si>
    <t>https://www.acsreagentes.com.br/cloreto-de-calcio-2h2o-pa-500g-acs-cientifica?utm_source=Site&amp;utm_medium=GoogleMerchant&amp;utm_campaign=GoogleMerchant</t>
  </si>
  <si>
    <t>https://www.didaticasp.com.br/cloreto-de-calcio-2h2o-pa-1kg</t>
  </si>
  <si>
    <t>CLORETO DE FERRO III ANIDRO P.A.</t>
  </si>
  <si>
    <t>CATMAT -356835- Cloreto de ferro, aspecto físico: pó cinza esverdeado escuro a preto, inodoro, composição: FeCL3 anidro, peso molecular: 162,30 g/mol, pureza mínima de 98%, características adicionais: reagente P.A., número de referência química: CAS 7705-08-0, entregue em frasco de 250 g. Atenção: observar a unidade de medida do SIPAC e colocar múltiplo de 250 g.</t>
  </si>
  <si>
    <t>https://www.glasslab.com.br/reagentes-e-meios/cloreto-de-ferro-iii-ico-anidro-pa-1kg?parceiro=6858&amp;gclid=Cj0KCQiAu62QBhC7ARIsALXijXRFulTXIE9GdR-NfCLyHMG-VgtIOb-7gLF2IKKqONI8G7NlXNvL6EMaAvAPEALw_wcB</t>
  </si>
  <si>
    <t>https://jglab.com.br/produto/cloreto-de-ferro-iii-anidro-500g/?gclid=Cj0KCQiAu62QBhC7ARIsALXijXTVao-3gJCuNOaqZ3y4b7r8VbgmvYYNyny8kTpju4pvUVywHQj5lDgaAnM4EALw_wcB</t>
  </si>
  <si>
    <t>https://www.orionprodutoscientificos.com.br/cloreto-de-ferro-iii-ico-anidro-pa-1kg-exodo-cientifica?utm_source=Site&amp;utm_medium=GoogleMerchant&amp;utm_campaign=GoogleMerchant</t>
  </si>
  <si>
    <t xml:space="preserve">CLORETO DE MAGNÉSIO (6H2O) P.A.        </t>
  </si>
  <si>
    <t>CATMAT -360537- Cloreto de magnésio, composição básica: MgCl2.6H2O (hexa-hidratado), aspecto físico: cristal ou floco, incolor a esbranquiçado, inodoro, peso molecular: 203,30 g/mol, pureza mínima de 99%, característica adicional: reagente P.A., número de referência química: CAS 7791-18-6. Entregue em frasco de 250 g. Atenção: observar a unidade de medida do SIPAC e colocar múltiplo de 250 g.</t>
  </si>
  <si>
    <t>https://www.glasslab.com.br/reagentes-e-meios/cloreto-de-magnesio-6h2o-pa-acs-500g?parceiro=6858</t>
  </si>
  <si>
    <t>https://www.mmcomercio.net.br/produto/cloreto-de-magnesio-6h2o-pa-acs-1kg-exodo.html?utm_source=Site&amp;utm_medium=GoogleMerchant&amp;utm_campaign=GoogleMerchant</t>
  </si>
  <si>
    <t>https://www.acsreagentes.com.br/cloreto-de-magnesio-6h2o-pa-acs-500g-acs-cientifica</t>
  </si>
  <si>
    <t>CLORETO DE POTASSIO P.A.</t>
  </si>
  <si>
    <t>CATMAT - 352777 - CLORETO DE POTÁSSIO, ASPECTO FÍSICO: PÓ OU CRISTAL BRANCO, INODORO, FÓRMULA QUÍMICA: KCL, MASSA MOLECULAR: 74,55 G,MOL, GRAU DE PUREZA: PUREZA MÍNIMA DE 99%, CARACTERÍSTICA ADICIONAL: REAGENTE P.A., NÚMERO DE REFERÊNCIA QUÍMICA: CAS 7447-40-7</t>
  </si>
  <si>
    <t>https://docs.google.com/spreadsheets/d/1WtR0lFXiY_JEp8Wr_wvLyuGmgfp31yKLuCpHGtTLTJ4/edit#gid=213568507</t>
  </si>
  <si>
    <t>https://www.orionprodutoscientificos.com.br/cloreto-de-potassio-p-a-acs-500-g-fabricante-neon?utm_source=Site&amp;utm_medium=GoogleMerchant&amp;utm_campaign=GoogleMerchant</t>
  </si>
  <si>
    <t>https://www.lojasynth.com/reagentes-analiticosmaterias-primas/reagentes-analiticosmaterias-primas/cloreto-de-potassio-p-a</t>
  </si>
  <si>
    <t>CLORETO DE SÓDIO P.A.</t>
  </si>
  <si>
    <t>CATMAT -366472- Cloreto de sódio, aspecto físico: pó cristalino branco ou cristais incolores, composição química: NaCl anidro, peso molecular: 58,45 g/mol, pureza mínima de 99,5%, característica adicional: reagente P.A., número de referência química: CAS 7647-14-5</t>
  </si>
  <si>
    <t>Loja Metaquímica - CLORETO DE SÓDIO PA 1000G - QUÍMICA MODERNA FORMULA NaCl (metaquimica.com)</t>
  </si>
  <si>
    <t>Cloreto De Sodio Pa Acs 1Kg Exodo Cientifica - orionprodutoscientificos</t>
  </si>
  <si>
    <t xml:space="preserve">CLOROFÓRMIO P.A. ACS        </t>
  </si>
  <si>
    <t>CATMAT -380869- Clorofórmio, aspecto físico: líquido claro, incolor, odor forte característico, peso molecular: 119,38 g/mol, fórmula química: CHCl3, pureza mínima de 99%, característica adicional: reagente P.A. ACS, número de referência química: CAS 67-66-3</t>
  </si>
  <si>
    <t>CLOROFORMIO PA 1L *PF/SSP - Didática SP (didaticasp.com.br)</t>
  </si>
  <si>
    <t>CLOROFORMIO PA ACS - 1L - GLASSLAB - Materiais, Instrumentos e Equipamentos para Laboratório</t>
  </si>
  <si>
    <t xml:space="preserve">CONJUNTO CORANTE HEMATOLÓGICO PANÓTICO RÁPIDO </t>
  </si>
  <si>
    <t>CATMAT -327536- Conjunto corante hematológico panótico rápido, aspecto físico: líquido, características adicionais: frascos separados contendo, composição: 0,1% de ciclohexadienos, 0,1% de azobenzosulfônicos, componentes adicionais: 0,1% de fenotiazinas. cada reagente acomodado em frasco de 500 mL</t>
  </si>
  <si>
    <t>CONJUNTO</t>
  </si>
  <si>
    <t>https://www.rmdistribuidorasc.com.br/MLB-1902207822-kit-panotico-rapido-3-x-500-ml-_JM</t>
  </si>
  <si>
    <t>https://www.mmcomercio.net.br/produto/coloracao-panotico-rapido-conjunto-3x500ml-laborclin.html?utm_source=Site&amp;utm_medium=GoogleMerchant&amp;utm_campaign=GoogleMerchant</t>
  </si>
  <si>
    <t xml:space="preserve">CONJUNTO REAGENTE PARA COLORAÇÃO DE GRAM 4 FRASCOS COM 500 ML        </t>
  </si>
  <si>
    <t>CATMAT -327534- Conjunto reagente para coloração de Gram, aspecto físico: líquido, características adicionais: frascos separados contendo, composição: cristal violeta, lugol, etanol-acetona, fucsina básica, cada solução é acomodado em frasco com 500 mL.</t>
  </si>
  <si>
    <t xml:space="preserve">CONJUNTO </t>
  </si>
  <si>
    <t>https://jglab.com.br/produto/conjunto-para-coloracao-de-gram-4x500ml/?gclid=Cj0KCQiAu62QBhC7ARIsALXijXT8xSkha-u050WiqitTBfTysygd-SlWxS5SOvzCKuoZcw83IPfREj0aArIrEALw_wcB</t>
  </si>
  <si>
    <t>https://www.mmcomercio.net.br/produto/gram-conjunto-pcoloracao-4x500ml-laborclin.html?utm_source=Site&amp;utm_medium=GoogleMerchant&amp;utm_campaign=GoogleMerchant</t>
  </si>
  <si>
    <t>https://www.rmdistribuidorasc.com.br/MLB-2048972359-kit-corante-gram-4x500ml-_JM</t>
  </si>
  <si>
    <t>AZUL BRILHANTE COOMASSIE G-250 FRASCO 25 G</t>
  </si>
  <si>
    <t>CATMAT -358554- Corante, tipo azul brilhante coomassie G-250, aspecto físico pó, características adicionais ci 42655, frasco 25 g.</t>
  </si>
  <si>
    <t>https://www.glasslab.com.br/reagentes-e-meios/azul-de-coomassie-brilhante-g250-25g?parceiro=6858</t>
  </si>
  <si>
    <t>https://www.orionprodutoscientificos.com.br/azul-de-coomassie-brilhante-r-250-ci-42660-25g-acs-cientifica?utm_source=Site&amp;utm_medium=GoogleMerchant&amp;utm_campaign=GoogleMerchant</t>
  </si>
  <si>
    <t>https://www.didaticasp.com.br/azul-de-coomassie-brilhante-g250-25g</t>
  </si>
  <si>
    <t>CROMATO DE POTÁSSIO ANIDRO P.A.</t>
  </si>
  <si>
    <t>CATMAT -359256- Cromato de potássio, aspecto físico: pó cristalino amarelo alaranjado, inodoro, fórmula química: K2CrO4 anidro, massa molecular: 194,19 g/mol, pureza mínima de 99%, característica adicional: reagente P.A., número de referência química: CAS 7789-00-6, entregue em frasco de 500 g. Atenção: observar a unidade de medida do SIPAC e colocar múltiplo de 500 g.</t>
  </si>
  <si>
    <t>https://www.google.com/search?q=CROMATO+DE+POT%C3%81SSIO+ANIDRO+P.A.&amp;tbm=shop&amp;ved=2ahUKEwjlgMf3roL2AhW5MrkGHWsmA8kQu-kFegQIABAB&amp;oq=CROMATO+DE+POT%C3%81SSIO+ANIDRO+P.A.&amp;gs_lcp=Cgtwcm9kdWN0cy1jYxADMgUIABCiBDoECCMQJzoGCAAQHhAYUP0IWP0IYJoNaABwAHgAgAG8AYgB5AKSAQMwLjKYAQCgAQHAAQE&amp;sclient=products-cc&amp;ei=ufQLYqXAF7nl5OUP68yMyAw&amp;bih=520&amp;biw=1280</t>
  </si>
  <si>
    <t xml:space="preserve">DICLOROMETANO HPLC	</t>
  </si>
  <si>
    <t>CATMAT - 346522 – Diclorometano, aspecto físico líquido claro, incolor, fórmula química: CH2Cl2, massa molecular: 84,93 g/mol, grau de pureza mínima de 99,9%, característica adicional reagente grau HPLC, CAS 75-09-2.</t>
  </si>
  <si>
    <t>DICLOROMETANO HPLC | Sigma-Aldrich (sigmaaldrich.com)</t>
  </si>
  <si>
    <t>https://www.glasslab.com.br/reagentes-e-meios/diclorometano-hplc-1l?parceiro=6858</t>
  </si>
  <si>
    <t>DICLOROMETANO P.A. -</t>
  </si>
  <si>
    <t>CATMAT -346521- Diclorometano, aspecto físico: líquido claro, incolor, fórmula química: CH2Cl2, massa molecular: 84,93 g/mol, pureza mínima de 99%, característica adicional: reagente P.A., número de referência química: CAS 75-09-2.</t>
  </si>
  <si>
    <t>https://www.glasslab.com.br/reagentes-e-meios/diclorometano-pa-acs-99-5-1l?parceiro=6858</t>
  </si>
  <si>
    <t>DICLOROMETANO PA 1L *PF/SSP - Didática SP (didaticasp.com.br)</t>
  </si>
  <si>
    <t xml:space="preserve">DICROMATO DE POTÁSSIO P.A. ACS        </t>
  </si>
  <si>
    <t>CATMAT -412588- Dicromato de potássio, aspecto físico: pó fino, cristalino, cor laranja, composição química: K2Cr2O7, peso molecular: 294,18 g/mol, pureza mínima de 99%, característica adicional: reagente P.A. ACS, número de referência química: CAS 7778-50-9, entregue em frasco de 250 g. Atenção: observar a unidade de medida do SIPAC e colocar múltiplo de 250 g.</t>
  </si>
  <si>
    <t>https://www.glasslab.com.br/reagentes-e-meios/dicromato-de-potassio-pa-1kg?parceiro=6858&amp;gclid=Cj0KCQiAu62QBhC7ARIsALXijXSn_XWCwPjwN5CzuYgkVAQUZ3fHWjePLI20ULUJOU0YCgiwDaW1KwcaAqq4EALw_wcB</t>
  </si>
  <si>
    <t>DIMETILFORMAMIDA-N,N PA ACS</t>
  </si>
  <si>
    <t xml:space="preserve">CATMAT -380933- N,n-dimetilformamida (dmf), composição química: C3H7NO, aspecto físico: líquido claro, incolor, inflamável, peso molecular: 73,09 g/mol, pureza mínima: pureza mínima de 99,8%, característica adicional: reagente P.A. ACS, número de referência química: CAS 68-12-2 </t>
  </si>
  <si>
    <t>https://www.glasslab.com.br/reagentes-e-meios/dimetilformamida-n-n-pa-acs-1l?parceiro=6858</t>
  </si>
  <si>
    <t>https://www.acsreagentes.com.br/dimetilformamida-n-n-pa-acs-5l-acs-cientifica</t>
  </si>
  <si>
    <t>DIMETILSULFÓXIDO (DMSO) DEUTERADO</t>
  </si>
  <si>
    <t>CATMAT -419288- Dimetilsulfóxido (dmso) aspecto físico: líquido límpido, incolor, odor suave, peso molecular: 84,17 g/mol, composição química: (CD3)2SO - hexadeuterado, pureza isotópica mínima 99.96 átomico % D, característica adicional: com 0,03% V/V de TMS, número de referência química: CAS 2206-27-1, entregue em frasco de 10 g. Atenção: observar a unidade de medida do SIPAC e colocar múltiplo de 10 g.</t>
  </si>
  <si>
    <t>Dimethyl sulfoxide-d6 \ 100 \ , D 99.96atom 2206-27-1 (sigmaaldrich.com)</t>
  </si>
  <si>
    <t>EDTA de Magnésio Sal Dissódico (XH2O) P.A.</t>
  </si>
  <si>
    <t>CATMAT -449870- Ácido etilenodiaminotetracético (EDTA), fórmula química: C10H12MgN2Na2O8 x H2O, composição química: sal magnésico dissódico hidratado, aspecto físico: pó, massa molar: 358,50 g/mol, pureza mínima de 99%, número de referência química: CAS 14402-88-1</t>
  </si>
  <si>
    <t>https://www.orionprodutoscientificos.com.br/edta-sal-magnesio-e-dissodico-pa-xh2o-100g-exodo-cientifica</t>
  </si>
  <si>
    <t>EDTA (SAL DE MAGNESIO E POTASSIO) 100G - Didática SP (didaticasp.com.br)</t>
  </si>
  <si>
    <t xml:space="preserve">EDTA SAL DISSÓDICO (2H2O) P.A. </t>
  </si>
  <si>
    <t>CATMAT -366502- Ácido etilenodiaminotetracético (EDTA), aspecto físico pó branco cristalino, peso molecular 372,24 g/mol, fórmula química C10H14N2O8NA2.2H2O (sal dissódico dihidratado), pureza mínima de 99%, característica adicional reagente P.A., número de referência química CAS 6381-92-6. Entregue em frasco com 500 g. Atenção: observar a unidade de medida do SIPAC e colocar múltiplo de 500 g.</t>
  </si>
  <si>
    <t>https://www.glasslab.com.br/reagentes-e-meios/edta-sal-dissodico-2h2o-pa-acs-1kg?parceiro=6858&amp;gclid=Cj0KCQiAu62QBhC7ARIsALXijXQaaK-gLcCGvplsGNNtMw0jE9g6B54M5WhdzkkgddJ51VAhRo8e4KUaAlHkEALw_wcB</t>
  </si>
  <si>
    <t>https://www.orionprodutoscientificos.com.br/edta-sal-dissodico-2h2o-pa-500g-exodo-cientifica?utm_source=Site&amp;utm_medium=GoogleMerchant&amp;utm_campaign=GoogleMerchant</t>
  </si>
  <si>
    <t>https://www.didaticasp.com.br/edta-sal-dissodico-2h2o-pa-500g</t>
  </si>
  <si>
    <t>EOSINA AMARELADA Y 0,5% 1 L</t>
  </si>
  <si>
    <t>CATMAT -414964-  Corante, tipo: eosina amarelada y, aspecto físico: líquido, características adicionais: ci 45380, concentração: solução a 0,5% alcoólica, frasco 1 L.</t>
  </si>
  <si>
    <t>sivaldo</t>
  </si>
  <si>
    <t>https://www.acsreagentes.com.br/eosina-amarelada-y-solucao-05-alcoolica-1l-acs-cientifica?utm_source=Site&amp;utm_medium=GoogleMerchant&amp;utm_campaign=GoogleMerchant</t>
  </si>
  <si>
    <t>https://www.casalab.com.br/produtos/98/13566_</t>
  </si>
  <si>
    <t>https://www.orionprodutoscientificos.com.br/eosina-amarelada-y-solucao-5-alcoolica-1l-acs-cientifica</t>
  </si>
  <si>
    <t>EOSINA AMARELADA Y CI 45380 FRASCO 25 G</t>
  </si>
  <si>
    <t>CATMAT -327377-  Corante, tipo: eosina amarelada y, aspecto físico: pó, características adicionais: CI 45380, frasco com 25 g</t>
  </si>
  <si>
    <t>https://www.glasslab.com.br/reagentes-e-meios/eosina-amarelada-y-ci-45380-25g?parceiro=6858</t>
  </si>
  <si>
    <t>https://www.lojasynth.com/reagentes-analiticosmaterias-primas/reagentes-analiticosmaterias-primas/eosina-amarelada-p-a-ci-45380?parceiro=2827</t>
  </si>
  <si>
    <t>https://www.orionprodutoscientificos.com.br/eosina-amarelada-sal-dissodico-p-a-acs-c-i-45380-25-g-fabricante-neon?utm_source=Site&amp;utm_medium=GoogleMerchant&amp;utm_campaign=GoogleMerchant</t>
  </si>
  <si>
    <t>ÉTER DE PETRÓLEO P.A. 30-60ºC</t>
  </si>
  <si>
    <t>CATMAT -352740- Éter de petróleo, aspecto físico líquido incolor, límpido, com odor de gasolina, fórmula química mistura de hidrocarbonetos derivados do petróleo, faixa de destilação destilados entre 30 e 60ºc, teor de pureza pureza mínima de 99,5%, característica adicional reagente p.a., número de referência química cas 8032-32-4.</t>
  </si>
  <si>
    <t>https://www.acsreagentes.com.br/eter-de-petroleo-30-60-pa-acs-1l-acs-cientifica?utm_source=Site&amp;utm_medium=GoogleMerchant&amp;utm_campaign=GoogleMerchant</t>
  </si>
  <si>
    <t>https://www.didaticasp.com.br/eter-de-petroleo-30-60-pa-acs-1l</t>
  </si>
  <si>
    <t xml:space="preserve">ÉTER DIETÍLICO P.A. ACS        </t>
  </si>
  <si>
    <t>CATMAT - 456251 - Éter dietílico, aspecto físico: líquido, pureza mínima de 99%, peso molecular: 74,12 g/mol, característica adicional: reagente P.A. ACS, número de referência química: CAS 60-29-7.</t>
  </si>
  <si>
    <t>https://www.biomedh.com.br/008119/eter-etilico-pa-acs-1000ml.html</t>
  </si>
  <si>
    <t>Neon | Site Neon Comercial</t>
  </si>
  <si>
    <t xml:space="preserve">FERRICIANETO DE POTÁSSIO P.A. ACS        </t>
  </si>
  <si>
    <t>CATMAT -374800- Ferricianeto de potássio, aspecto físico pó cristalino vermelho brilhante, fórmula química K3Fe(CN)6, peso molecular 329,25 g/mol, pureza mínima de 99%, característica adicional reagente P.A. ACS, número de referência química: CAS 13746-66-2. Entregue em frasco de 250 g. Atenção: observar a unidade de medida do SIPAC e colocar múltiplo de 250 g.</t>
  </si>
  <si>
    <t>https://www.lojasynth.com/reagentes-analiticosmaterias-primas/reagentes-analiticosmaterias-primas/ferrocianeto-de-potassio-3h2o-p-a-a-c-s</t>
  </si>
  <si>
    <t>https://www.precisaoabsoluta.com.br/produto/ferricianeto-de-potassio-pa-acs-fr-250g-marca-acs/</t>
  </si>
  <si>
    <t>https://www.glasslab.com.br/reagentes-e-meios/ferricianeto-de-potassio-pa-acs-500g?parceiro=6858&amp;gclid=Cj0KCQiAu62QBhC7ARIsALXijXRwlu7mnjrM9QZWHNfOGYYdExHR9sLQx-XxEPyxuqP7KwYGQqyThq8aAmvvEALw_wcB</t>
  </si>
  <si>
    <t xml:space="preserve">FORMALDEIDO (FORMOL) 37-40%        </t>
  </si>
  <si>
    <t>CATMAT -362990- Formaldeído (formol), aspecto físico: líquido incolor, límpido, fórmula química: H2CO, peso molecular: 30,03 g/mol, grau de pureza: concentração entre 37 e 40%, número de referência química: CAS 50-00-0. Entregue em Bombona de 5 L. Atenção: observar a unidade de medida do SIPAC e colocar múltiplo de 5 L.</t>
  </si>
  <si>
    <t>https://jglab.com.br/produto/formaldeido-37-pa-acs/?attribute_embalagem=1L&amp;gclid=Cj0KCQiAmKiQBhClARIsAKtSj-kzW-QwkB6kBlEfOYJ0rvuLdTFUMLAa3D16vS5cvnT_f7HAfxWtZ_0aAohbEALw_wcB</t>
  </si>
  <si>
    <t>https://limpcenter.com/produto/formol-estabilizado-37-5l?utm_source=Google%20Shopping&amp;utm_campaign=LimpCenter&amp;utm_medium=cpc&amp;utm_term=5944</t>
  </si>
  <si>
    <t>https://www.cobasi.com.br/ita-protect-formol-37--05lt-900235034/p?idsku=900229440</t>
  </si>
  <si>
    <t>FORMALDEÍDO (FORMOL) P.A.</t>
  </si>
  <si>
    <t>CATMAT -357876- Formol (formaldeído), aspecto físico líquido incolor, límpido, fórmula química CH2O, peso molecular: 30,03 g/mol, grau de pureza concentração mínima de 35%, característica adicional reagente P.A., número de referência química CAS 50-00-0.</t>
  </si>
  <si>
    <t>https://www.orionprodutoscientificos.com.br/formaldeido-pa-acs-1l-acs-cientifica?utm_source=Site&amp;utm_medium=GoogleMerchant&amp;utm_campaign=GoogleMerchant</t>
  </si>
  <si>
    <t>https://jglab.com.br/produto/formaldeido-37-pa-acs/?attribute_embalagem=1L</t>
  </si>
  <si>
    <t>FOSFATO DE POTÁSSIO MONOBÁSICO ANIDRO P.A.</t>
  </si>
  <si>
    <t>CATMAT -352749- Fosfato de potássio, aspecto físico pó branco cristalino, inodoro, fórmula química KH2PO4 (monobásico anidro), peso molecular 136,09 g/mol, pureza mínima de 99%, característica adicional reagente P.A., número de referência química: CAS 7778-77-0. Entregue em frasco com 500 g. Atenção: observar a unidade de medida do SIPAC e colocar múltiplo de 500 g.</t>
  </si>
  <si>
    <t>https://jglab.com.br/produto/fosfato-potassio-monobasico-anidro-pa-acs/?attribute_embalagem=500g&amp;gclid=Cj0KCQiAu62QBhC7ARIsALXijXRQTyRPeOQ0egQSsvHL4tQDwXW_r49CWWsHg4AZxzpphoPidJxC0aMaAjOMEALw_wcB</t>
  </si>
  <si>
    <t>https://www.acsreagentes.com.br/fosfato-de-potassio-monobasico-anidro-pa-acs-diacido-1kg-acs-cientifica?utm_source=Site&amp;utm_medium=GoogleMerchant&amp;utm_campaign=GoogleMerchant</t>
  </si>
  <si>
    <t>https://www.orionprodutoscientificos.com.br/fosfato-de-potassio-monobasico-anidro-pa-acs-diacido-500g-exodo-cientifica?utm_source=Site&amp;utm_medium=GoogleMerchant&amp;utm_campaign=GoogleMerchant</t>
  </si>
  <si>
    <t>FOSFATO DE SÓDIO DIBÁSICO ANIDRO P.A.</t>
  </si>
  <si>
    <t>CATMAT -347723- Fosfato de sódio, aspecto físico: pó fino de cristais brancos, inodoro, higroscópico, fórmula química: Na2HPO4 (dibásico anidro), massa molecular: 141,96 g/mol, pureza mínima de 99%, característica adicional: reagente P.A., número de referência química: CAS 7558-79-4. Entregue em frasco com 500 g. Atenção: observar a unidade de medida do SIPAC e colocar múltiplo de 500 g.</t>
  </si>
  <si>
    <t>https://jglab.com.br/produto/fosfato-de-sodio-bibasico-anidro-pa-acs/?attribute_embalagem=500g&amp;gclid=Cj0KCQiAu62QBhC7ARIsALXijXTT4tfUZeIxphafDNLWXi7T34elewVlbn9mflLHH7p9Lew_cNoOzI4aAlwKEALw_wcB</t>
  </si>
  <si>
    <t>https://www.orionprodutoscientificos.com.br/fosfato-de-sodio-dibasico-anidro-pa-acs-1kg-exodo-cientifica?utm_source=Site&amp;utm_medium=GoogleMerchant&amp;utm_campaign=GoogleMerchant</t>
  </si>
  <si>
    <t>https://www.acsreagentes.com.br/fosfato-de-sodio-dibasico-anidro-pa-acs-500g-acs-cientifica</t>
  </si>
  <si>
    <t>FOSFATO DE SÓDIO MONOBÁSICO (H2O) P.A. ACS</t>
  </si>
  <si>
    <t>CATMAT - 410732 - Fosfato de sódio, aspecto físico: grânulos brancos cristalinos, fórmula química: NaH2PO4.H2O (monobásico, mono-hidratado), massa molecular: 137,99 g/mol, grau de pureza: pureza mínima de 98%, característica adicional: reagente P.A. ACS, número de referência química: CAS 10049-21-5. Entregue em frasco com 500 g. Atenção: observar a unidade de medida do SIPAC e colocar múltiplo de 500 g.</t>
  </si>
  <si>
    <t>https://jglab.com.br/produto/fosfato-de-sodio-bibasico-anidro-pa-acs/?attribute_embalagem=500g&amp;gclid=Cj0KCQiAu62QBhC7ARIsALXijXRHiPblHf1zeRoWjzXIC13DSOzgPR3UpDXkGQrZxAKIeh8q-1l_RJ0aAucuEALw_wcB</t>
  </si>
  <si>
    <t>https://www.orionprodutoscientificos.com.br/fosfato-de-sodio-monobasico-h2o-pa-acs-1kg-exodo-cientifica?utm_source=Site&amp;utm_medium=GoogleMerchant&amp;utm_campaign=GoogleMerchant</t>
  </si>
  <si>
    <r>
      <rPr>
        <color rgb="FF1155CC"/>
        <u/>
      </rPr>
      <t>https://www.acsreagentes.com.br/fosfato-de-sodio-monobasico-h2o-monohidratado-pa-acs-1kg-acs-cientifica</t>
    </r>
    <r>
      <rPr/>
      <t>a</t>
    </r>
  </si>
  <si>
    <t xml:space="preserve">FOSFATO DE SÓDIO MONOBÁSICO ANIDRO P.A.	</t>
  </si>
  <si>
    <t>CATMAT -347727- Fosfato de sódio, aspecto físico pó fino de cristais brancos, inodoro, higroscópico, fórmula química NaH2PO4 (monobásico anidro), massa molecular 119,98 g/mol, pureza mínima de 98%, característica adicional reagente P.A., número de referência química CAS 7558-80-7. Entregue em frasco com 500 g. Atenção: observar a unidade de medida do SIPAC e colocar múltiplo de 500 g.</t>
  </si>
  <si>
    <t>https://www.orionprodutoscientificos.com.br/fosfato-de-sodio-monobasico-anidro-98-p-a-1000-g-fabricante-neon?utm_source=Site&amp;utm_medium=GoogleMerchant&amp;utm_campaign=GoogleMerchant</t>
  </si>
  <si>
    <t>https://www.acsreagentes.com.br/fosfato-de-sodio-monobasico-anidro-pa-500g-acs-cientifica</t>
  </si>
  <si>
    <t xml:space="preserve">FOSFATO DE SÓDIO TRIBÁSICO (12H2O) P.A.     </t>
  </si>
  <si>
    <t xml:space="preserve">CATMAT - 352755 - Fosfato de sódio, aspecto físico: pó cristalino branco, fórmula química: Na3PO4.12H2O (trissódico dodeca-hidratado), massa molecular: 380,12 g/mol, pureza mínima de 98%, característica adicional: reagente P.A., número de referência química: CAS 10101-89-0. </t>
  </si>
  <si>
    <t>https://www.orionprodutoscientificos.com.br/fosfato-de-sodio-tribasico-12h2o-pa-acs-1kg-exodo-cientifica?utm_source=Site&amp;utm_medium=GoogleMerchant&amp;utm_campaign=GoogleMerchant</t>
  </si>
  <si>
    <t>https://www.acsreagentes.com.br/fosfato-de-sodio-tribasico-12h2o-pa-acs-500g-acs-cientifica</t>
  </si>
  <si>
    <t>https://www.glasslab.com.br/reagentes-e-meios/fosfato-de-sodio-bb-12h2o-pa-1kg?parceiro=6858</t>
  </si>
  <si>
    <t>FUCSINA ÁCIDA CI 42685 FRASCO 25G</t>
  </si>
  <si>
    <t>CATMAT -347012- Corante, tipo: fucsina ácida, aspecto físico: pó, características adicionais: CI 42685, frasco 25 g</t>
  </si>
  <si>
    <t>https://jglab.com.br/produto/fucsina-acida-ci-42685-25g/?gclid=Cj0KCQiAu62QBhC7ARIsALXijXT4yk9UtLicndPmnMVOXBNKv0psoQUyTxY_YqtSwBeaejAQU8ETktwaAvrJEALw_wcB</t>
  </si>
  <si>
    <t>https://www.glasslab.com.br/reagentes-e-meios/fucsina-acida-ci-42685-25g?parceiro=6858&amp;gclid=Cj0KCQiAu62QBhC7ARIsALXijXR8vTm_U-eG0D_bgsNh9P5MttViARqPVmMSP3yJiI5pN1XmuMkWz6oaAuK0EALw_wcB</t>
  </si>
  <si>
    <t>https://www.orionprodutoscientificos.com.br/fucsina-acida-ci-42685-25g-acs-cientifica?utm_source=Site&amp;utm_medium=GoogleMerchant&amp;utm_campaign=GoogleMerchant</t>
  </si>
  <si>
    <t xml:space="preserve">GLICOSE ANIDRA P.A. (DEXTROSE)	</t>
  </si>
  <si>
    <t>CATMAT -352808- Glicose, aspecto físico: pó branco fino, fórmula química: C6H12O6 (D-glicose), peso molecular: 180,16 g/mol, característica adicional: anidra, reagente P.A., número de referência química: CAS 50-99-7. Entregue em frasco com 500 g. Atenção: observar a unidade de medida do SIPAC e colocar múltiplo de 500 g.</t>
  </si>
  <si>
    <t>https://www.glasslab.com.br/reagentes-e-meios/dextrose-glicose-anidra-pa-acs-500g?parceiro=6858&amp;gclid=Cj0KCQiAu62QBhC7ARIsALXijXSrgrdOZOIp-yQ1x3--2tAse5oIHj680NOeOa18-ywyEqMMjLMgR38aAt9PEALw_wcB</t>
  </si>
  <si>
    <t>https://www.orionprodutoscientificos.com.br/glicose-anidra-dextrose-pa-acs-500g-acs-cientifica?utm_source=Site&amp;utm_medium=GoogleMerchant&amp;utm_campaign=GoogleMerchant</t>
  </si>
  <si>
    <t>https://jglab.com.br/produto/glicose-anidra-pa-acs-500g/</t>
  </si>
  <si>
    <t>HEMATOXILINA CI. 75290 FRACO 25 G</t>
  </si>
  <si>
    <t>CATMAT -331825- Corante, tipo hematoxilina, aspecto físico pó, características adicionais ci 75290, frasco com 25 g.</t>
  </si>
  <si>
    <t>https://jglab.com.br/produto/hematoxilina-ci-75290-25g/?gclid=Cj0KCQiAu62QBhC7ARIsALXijXQR0NZ9ZNCuiCQBjFTLMNOF6PFr-P9SPkE99TVaeSHGt_c50EBFkEoaAvDEEALw_wcB</t>
  </si>
  <si>
    <t>https://www.glasslab.com.br/reagentes-e-meios/hematoxilina-ci-75290-25g?parceiro=6858&amp;gclid=Cj0KCQiAu62QBhC7ARIsALXijXTVJ5bikv4SPZE5o_t132YaDAYgFyQF00EGBX8MqF7-vl2h9e0sxJYaAsIEEALw_wcB</t>
  </si>
  <si>
    <t>https://www.acsreagentes.com.br/hematoxilina-ci-75290-25g-acs-cientifica?utm_source=Site&amp;utm_medium=GoogleMerchant&amp;utm_campaign=GoogleMerchant</t>
  </si>
  <si>
    <t>HEMATOXILINA DE HARRIS FRASCO 1000 ML</t>
  </si>
  <si>
    <t>CATMAT -368632- Corante, tipo: hematoxilina segundo Harris, aspecto físico: líquido, frasco 1000 mL.</t>
  </si>
  <si>
    <t>https://www.orionprodutoscientificos.com.br/hematoxilina-harris-500ml-exodo-cientifica?utm_source=Site&amp;utm_medium=GoogleMerchant&amp;utm_campaign=GoogleMerchant</t>
  </si>
  <si>
    <t>https://www.orionprodutoscientificos.com.br/hematoxilina-harris-500ml-acs-cientifica?utm_source=Site&amp;utm_medium=GoogleMerchant&amp;utm_campaign=GoogleMerchant</t>
  </si>
  <si>
    <t>https://www.casalab.com.br/produtos/70/3421_</t>
  </si>
  <si>
    <t>HEXANO P.A. ACS</t>
  </si>
  <si>
    <t>CATMAT - 354580 - Hexano, aspecto físico: líquido transparente, peso molecular: 86,18 g/mol, composição química: c6h14 (n-hexano), pureza mínima de 95%, característica adicional: reagente P.A. ACS, número de referência química: CAS 110-54-</t>
  </si>
  <si>
    <t>JGLab | N-Hexano 95% PA ACS 1L</t>
  </si>
  <si>
    <t>HEXANO-N PA 1L 95% - Didática SP (didaticasp.com.br)</t>
  </si>
  <si>
    <t>Hexano-N 95% Pa Acs 1L Acs Cientifica - orionprodutoscientificos</t>
  </si>
  <si>
    <t>HIDROQUINONA (BENZENO-1,4-DIOL)</t>
  </si>
  <si>
    <t>CATMAT -368632- Hidroquinona (benzeno-1,4-diol), aspecto físico: cristais ou pó branco, fórmula química: C6H4(OH)2, peso molecular: 110,11 g/mol, pureza mínima de 99%, número de referência química: CAS 123-31-9, entregue em frasco de 500 g. Atenção: observar a unidade de medida do SIPAC e colocar múltiplo de 500 g.</t>
  </si>
  <si>
    <t>https://www.glasslab.com.br/reagentes-e-meios/hidroquinona-pa-500g?parceiro=6858</t>
  </si>
  <si>
    <t>https://jglab.com.br/produto/hidroquinona-pa-500g/</t>
  </si>
  <si>
    <t xml:space="preserve">HIDROXIDO DE SODIO P.A. MICROPEROLAS </t>
  </si>
  <si>
    <t>CATMAT - 355207 - Hidróxido de sódio, aspecto físico em micropérolas esbranquiçadas, peso molecular 40 g/mol, fórmula química NaOH, pureza mínima de 97%, característica adicional reagente P.A., número de referência química CAS 1310-73-2</t>
  </si>
  <si>
    <t>https://www.acsreagentes.com.br/hidroxido-de-sodio-em-escamas-pura-500g-acs-cientifica?utm_source=Site&amp;utm_medium=GoogleMerchant&amp;utm_campaign=GoogleMerchant</t>
  </si>
  <si>
    <t>https://jglab.com.br/produto/hidroxido-de-sodio-microperolas-pa-acs/?attribute_embalagem=500g</t>
  </si>
  <si>
    <t>https://www.orionprodutoscientificos.com.br/hidroxido-de-sodio-m-perolas-pa-acs-500g-exodo-cientifica?utm_source=Site&amp;utm_medium=GoogleMerchant&amp;utm_campaign=GoogleMerchant</t>
  </si>
  <si>
    <t xml:space="preserve">REATIVO FIXADOR DE BOUIN </t>
  </si>
  <si>
    <t>CATMAT -372437- Reagente para diagnóstico clínico 5, características adicionais: solução para fixação de lâmina, composição básica: solução de Bouin, frasco 1000 mL.</t>
  </si>
  <si>
    <t>https://www.orionprodutoscientificos.com.br/reativo-fixador-de-bouin-1l-exodo-cientifica?utm_source=Site&amp;utm_medium=GoogleMerchant&amp;utm_campaign=GoogleMerchant</t>
  </si>
  <si>
    <t>https://www.acsreagentes.com.br/reativo-fixador-de-bouin-1l-acs-cientifica?utm_source=Site&amp;utm_medium=GoogleMerchant&amp;utm_campaign=GoogleMerchant</t>
  </si>
  <si>
    <t>IODATO DE POTÁSSIO P.A. ANIDRO</t>
  </si>
  <si>
    <t>CATMAT -374023- Iodato de potássio, aspecto físico: pó cristalino branco e inodoro, peso molecular: 214 g/mol, fórmula química: KIO3 anidro, pureza mínima de 99%, característica adicional: reagente P.A., número de referência química: CAS 7758-05-6, entregue em frasco com 250 g. Atenção: observar a unidade de medida do SIPAC e colocar múltiplo de 250 g.</t>
  </si>
  <si>
    <t>https://jglab.com.br/produto/iodato-de-potassio-pa-acs/?attribute_embalagem=250g&amp;gclid=Cj0KCQiAu62QBhC7ARIsALXijXS3GYEIqnyZekrmdsfG28E0c01Lt1izpeeE0d0TVod0FO4MVkblZuMaAiwqEALw_wcB</t>
  </si>
  <si>
    <t>https://www.glasslab.com.br/reagentes-e-meios/iodato-de-potassio-pa-100g?parceiro=6858</t>
  </si>
  <si>
    <t>https://www.orionprodutoscientificos.com.br/iodato-de-potassio-pa-acs-500g-acs-cientifica?utm_source=Site&amp;utm_medium=GoogleMerchant&amp;utm_campaign=GoogleMerchant</t>
  </si>
  <si>
    <t xml:space="preserve">IODETO DE POTÁSSIO P.A.	</t>
  </si>
  <si>
    <t>CATMAT - 353071 - Iodeto de potássio, aspecto físico: pó branco, cristalino, inodoro, fórmula química: KI, peso molecular: 166,01 g/mol, pureza mínima de 99%, característica adicional: reagente P.A., número de referência química: CAS 7681-11-0. entregue em frasco de 500 g ou de 250 g. Atenção: observar a unidade de medida do SIPAC e colocar múltiplo de 250 ou 500 g.</t>
  </si>
  <si>
    <t>https://www.glasslab.com.br/reagentes-e-meios/iodeto-de-potassio-pa-acs-100g?parceiro=6858</t>
  </si>
  <si>
    <t>https://www.acsreagentes.com.br/iodeto-de-potassio-pa-acs-100g-acs-cientifica?utm_source=Site&amp;utm_medium=GoogleMerchant&amp;utm_campaign=GoogleMerchant</t>
  </si>
  <si>
    <t>CONJUNTO TRICRÔMIO DE MASSON</t>
  </si>
  <si>
    <t>CATMAT -368632- Corante, tipo: conjunto coloração tricrômio de masson, composição: hematoxilina weigert, ácido pícrico, componentes adicionais: fucsina mallory, azul anilina masson.</t>
  </si>
  <si>
    <t xml:space="preserve">LAURIL SULFATO DE SODIO P.A. </t>
  </si>
  <si>
    <t>CATMAT -351911- Lauril sulfato de sódio aspecto físico: pó branco ou levemente amarelado, inodoro, fórmula química: C12H25NaO4S, massa molecular: 288,38 g/mol, pureza mínima de 99%, característica adicional: reagente P.A., número de referência química: CAS 151-21-3, entregue em frasco de 500 g. Atenção: observar a unidade de medida do SIPAC e colocar múltiplo de 500 g.</t>
  </si>
  <si>
    <t>https://www.orionprodutoscientificos.com.br/lauril-sulfato-de-sodio-pa-dodecilsulfato-500g-exodo-cientifica?utm_source=Site&amp;utm_medium=GoogleMerchant&amp;utm_campaign=GoogleMerchant</t>
  </si>
  <si>
    <t>https://www.acsreagentes.com.br/lauril-sulfato-de-sodio-pa-dodecilsulfato-500g-acs-cientifica</t>
  </si>
  <si>
    <t>https://www.glasslab.com.br/reagentes-e-meios/lauril-dodecil-sulf-de-sodio-pa-500g?parceiro=6858</t>
  </si>
  <si>
    <t>LUGOL FORTE 5 % FRASCO COM 500 ML</t>
  </si>
  <si>
    <t>CATMAT -327212- Corante, tipo: lugol forte, aspecto físico: líquido, características adicionais: solução a 5% é composta de iodo a 5% m/v (50 g/L) e iodeto de potássio a 10%  m/v (100 g/L). Frasco com 500 mL.</t>
  </si>
  <si>
    <t>https://www.mmcomercio.net.br/produto/lugol-forte-concentrado-5i-10ki-500ml-laborclin.html?utm_source=Site&amp;utm_medium=GoogleMerchant&amp;utm_campaign=GoogleMerchant</t>
  </si>
  <si>
    <t>https://www.acsreagentes.com.br/iodo-iodeto-lugol-forte-solucao-5-aquoso-500ml-acs-cientifica?utm_source=Site&amp;utm_medium=GoogleMerchant&amp;utm_campaign=GoogleMerchant</t>
  </si>
  <si>
    <t>https://www.orionprodutoscientificos.com.br/lugol-forte-em-solucao-1000-ml-fabricante-neon?utm_source=Site&amp;utm_medium=GoogleMerchant&amp;utm_campaign=GoogleMerchant</t>
  </si>
  <si>
    <t>MEIO MILI, ÁGAR CITRATO DE SIMMON 500G</t>
  </si>
  <si>
    <t xml:space="preserve">
CATMAT -388554- Meio de cultura, tipo: conjunto completo, aditivos: com reativo de kovacs, outros componentes: meio epm, meio mili, ágar citrato de simmons</t>
  </si>
  <si>
    <t xml:space="preserve">MOLIBDATO DE AMÔNIO (4H2O) P.A. ACS        </t>
  </si>
  <si>
    <t>CATMAT -403993- Molibdato de amônio, aspecto físico pó cristalino branco a levemente amarelado, peso molecular 1235,86, fórmula química (NH4)6Mo7O24·4H2O (heptamolibdato, tetrahidratado), grau de pureza teor de MoO3 81,0 a 83,0%, pureza mínima de 99,0%, característica adicional reagente P.A. ACS, número de referência química: CAS 12054-85-2, entregue em frasco com 100 g. Atenção: observar a unidade de medida do SIPAC e colocar múltiplo de 100 g.</t>
  </si>
  <si>
    <t>https://www.glasslab.com.br/reagentes-e-meios/molibdato-de-amonio-4h2o-pa-acs-100g?parceiro=6858&amp;gclid=Cj0KCQiAu62QBhC7ARIsALXijXRsb7v7juaVWnDK2jlkkHhPttxWCDnWtKbVm9DvSQky-0MBr9vnMT8aAnFHEALw_wcB</t>
  </si>
  <si>
    <t>https://www.orionprodutoscientificos.com.br/molibdato-de-amonio-4h2o-pa-acs-100g-exodo-cientifica?utm_source=Site&amp;utm_medium=GoogleMerchant&amp;utm_campaign=GoogleMerchant</t>
  </si>
  <si>
    <t>https://www.acsreagentes.com.br/molibdato-de-amonio-4h2o-pa-acs-100g-acs-cientifica</t>
  </si>
  <si>
    <t>NAFTALENO PARA SÍNTESE</t>
  </si>
  <si>
    <t>CATMAT -347885- Naftaleno, aspecto físico: partículas sólidas brancas, peso molecular: 128,17 g/mol, fórmula química: C10H8, para síntese (PS), pureza mínima 98,5% característica adicional: número de referência química: CAS 91-20-3, entregue em frasco com 500 g. Atenção: observar a unidade de medida do SIPAC e colocar múltiplo de 500 g.</t>
  </si>
  <si>
    <t>https://jglab.com.br/produto/naftaleno-para-sintese-500g/</t>
  </si>
  <si>
    <t>https://www.acsreagentes.com.br/naftalina-naftaleno-ps-500g-acs-cientifica</t>
  </si>
  <si>
    <t>https://www.orionprodutoscientificos.com.br/naftalina-naftaleno-ps-500g-exodo-cientifica?utm_source=Site&amp;utm_medium=GoogleMerchant&amp;utm_campaign=GoogleMerchant</t>
  </si>
  <si>
    <t xml:space="preserve">NITRATO DE CHUMBO II P.A. </t>
  </si>
  <si>
    <t>CATMAT -359002- Nitrato de chumbo, aspecto físico: cristal branco, inodoro, peso molecular: 331,21 g/mol, composição química: Pb(NO3)2 (chumbo II), pureza mínima de 98%, característica adicional: reagente P.A., número de referência química: CAS 10099-74-8, entregue em frasco com 250 g. Atenção: observar a unidade de medida do SIPAC e colocar múltiplo de 250 g.</t>
  </si>
  <si>
    <t>https://www.glasslab.com.br/reagentes-e-meios/nitrato-de-chumbo-ii-pa-acs-250g?parceiro=6858</t>
  </si>
  <si>
    <t>https://www.acsreagentes.com.br/nitrato-de-chumbo-ii-pa-acs-250g-acs-cientifica</t>
  </si>
  <si>
    <t>https://www.orionprodutoscientificos.com.br/oxido-de-chumbo-ii-monoxidolitargirio-pa-500g-acs-cientifica?utm_source=Site&amp;utm_medium=GoogleMerchant&amp;utm_campaign=GoogleMerchant</t>
  </si>
  <si>
    <t>NITRATO DE POTÁSSIO P.A.</t>
  </si>
  <si>
    <t>CATMAT -357897- Nitrato de potássio, aspecto físico: cristal branco, inodoro, peso molecular: 101,11 g/mol, fórmula química: KNO3, pureza mínima de 99,8%, número de referência química: CAS 7757-79-1, característica adicional reagente P.A., entregue em frasco com 500 g. Atenção: observar a unidade de medida do SIPAC e colocar múltiplo de 500 g.</t>
  </si>
  <si>
    <t>https://www.glasslab.com.br/reagentes-e-meios/nitrato-de-potassio-pa-1kg?parceiro=6858</t>
  </si>
  <si>
    <t>NITRATO DE PRATA P.A. ACS</t>
  </si>
  <si>
    <t>CATMAT -412728- Nitrato de prata, aspecto físico cristal incolor, transparente, inodoro, fórmula química AgNO3, peso molecular 169,87 g/mol, pureza mínima de 99%, característica adicional reagente P.A. ACS, número de referência química CAS 7761-88-8, entregue em frasco com 25 g. Atenção: observar a unidade de medida do SIPAC e colocar múltiplo de 25 g.</t>
  </si>
  <si>
    <t>https://www.glasslab.com.br/reagentes-e-meios/nitrato-de-prata-pa-acs-25g?parceiro=6858</t>
  </si>
  <si>
    <t>https://www.orionprodutoscientificos.com.br/nitrato-de-prata-pa-acs-25g-exodo-cientifica?utm_source=Site&amp;utm_medium=GoogleMerchant&amp;utm_campaign=GoogleMerchant</t>
  </si>
  <si>
    <t>https://www.google.com/search?q=NITRATO+DE+PRATA+P.A.+ACS&amp;sa=X&amp;rlz=1C1ISCS_pt-PTBR945BR945&amp;biw=1280&amp;bih=625&amp;tbm=shop&amp;ei=7p0LYrjYKpi_5OUPj82s6AQ&amp;ved=0ahUKEwi4h-6U3IH2AhWYH7kGHY8mC00Q4dUDCAY&amp;uact=5&amp;oq=NITRATO+DE+PRATA+P.A.+ACS&amp;gs_lcp=Cgtwcm9kdWN0cy1jYxADMggIABCwAxCiBEoECEEYAVAAWABg7lNoAnAAeACAAQCIAQCSAQCYAQDIAQHAAQE&amp;sclient=products-cc</t>
  </si>
  <si>
    <t>NITRATO DE SÓDIO P.A.</t>
  </si>
  <si>
    <t>CATMAT -358988- Nitrato de sódio, aspecto físico: cristal branco, inodoro, higroscópico, fórmula química: NANO3, peso molecular: 84,99 g/mol, pureza mínima de 99%, característica adicional: reagente P.A., número de referência química: CAS 7631-99-4, entregue em frasco com 500 g. Atenção: observar a unidade de medida do SIPAC e colocar múltiplo de 500 g.</t>
  </si>
  <si>
    <t>https://www.glasslab.com.br/reagentes-e-meios/nitrato-de-sodio-pa-500g?parceiro=6858</t>
  </si>
  <si>
    <t>https://www.orionprodutoscientificos.com.br/nitrato-de-sodio-pa-500g-exodo-cientifica?utm_source=Site&amp;utm_medium=GoogleMerchant&amp;utm_campaign=GoogleMerchant</t>
  </si>
  <si>
    <t>https://www.acsreagentes.com.br/nitrato-de-sodio-pa-500g-acs-cientifica</t>
  </si>
  <si>
    <t>Nitrato de Zinco (6H2O) P.A.</t>
  </si>
  <si>
    <t xml:space="preserve">CATMAT -420021- Nitrato de zinco, aspecto físico: cristal incolor a esbranquiçado, leve odor nítrico, fórmula química: Zn(NO3)2.6H2O (hexa-hidratado), peso molecular: 297,49 g/mol, pureza mínima de 99%, característica adicional: reagente P.A., número de referência química: CAS 10196-18-6, entregue em frasco com 500 g, Atenção: observar a unidade de medida do SIPAC e colocar múltiplo de 500 g.
</t>
  </si>
  <si>
    <t>https://jglab.com.br/produto/nitrato-de-zinco-6h2o-pa/?attribute_embalagem=500g&amp;gclid=Cj0KCQiAu62QBhC7ARIsALXijXSpRAzPuZpBPZAWh2TD7aP6Azi1vklAYTPKul6--YbQ6vsGQAprnzAaAkTdEALw_wcB</t>
  </si>
  <si>
    <t>https://www.glasslab.com.br/reagentes-e-meios/nitrato-de-zinco-6h2o-pa-500g?parceiro=6858&amp;gclid=Cj0KCQiAu62QBhC7ARIsALXijXReOtXQCKhls29QGGyQ2blDgvQ5I9-fhJ_arH-lHoGJRiQj6lFLaOMaAq9UEALw_wcB</t>
  </si>
  <si>
    <r>
      <rPr>
        <color rgb="FF1155CC"/>
        <u/>
      </rPr>
      <t>https://www.orionprodutoscientificos.com.br/nitrato-de-zinco-pa-500g-acs-cientifica?utm_source=Site&amp;utm_medium=GoogleMerchant&amp;utm_campaign=GoogleMerchant</t>
    </r>
    <r>
      <rPr/>
      <t>t</t>
    </r>
  </si>
  <si>
    <t>ÓLEO DE IMERSÃO PARA MICROSCOPIA FRASCO 100 ML</t>
  </si>
  <si>
    <t>CATMAT -334384- Óleo de imersão, uso para microscopia, aspecto físico líquido límpido, transparente, frasco 100 mL.</t>
  </si>
  <si>
    <t>https://www.orionprodutoscientificos.com.br/oleo-de-imersao-para-microscopia-100ml-acs-cientifica?utm_source=Site&amp;utm_medium=GoogleMerchant&amp;utm_campaign=GoogleMerchant</t>
  </si>
  <si>
    <t>https://www.mmcomercio.net.br/produto/oleo-pimersao-pmicroscopia-100ml-laborclin.html?utm_source=Site&amp;utm_medium=GoogleMerchant&amp;utm_campaign=GoogleMerchant</t>
  </si>
  <si>
    <t>https://www.didaticasp.com.br/oleo-de-imersao-100ml</t>
  </si>
  <si>
    <t>ORCEÍNA SINTÉTICA FRASCO 10 G</t>
  </si>
  <si>
    <t xml:space="preserve">CATMAT -370331- Corante, tipo: orceína sintética, aspecto físico: pó, frasco 10 g. </t>
  </si>
  <si>
    <t>https://www.orionprodutoscientificos.com.br/orceina-sintetica-10g-acs-cientifica?utm_source=Site&amp;utm_medium=GoogleMerchant&amp;utm_campaign=GoogleMerchant</t>
  </si>
  <si>
    <t>https://www.orionprodutoscientificos.com.br/orceina-sintetica-10g-exodo-cientifica?utm_source=Site&amp;utm_medium=GoogleMerchant&amp;utm_campaign=GoogleMerchant</t>
  </si>
  <si>
    <t>https://jglab.com.br/produto/orceina-em-po-10g/</t>
  </si>
  <si>
    <t>OXALATO DE SÓDIO P.A. -</t>
  </si>
  <si>
    <t>CATMAT -400844- Oxalato de sódio, aspecto físico cristais finos brancos, inodoros, fórmula química Na2C2O4, massa molecular 134,01 g/mol, pureza mínima de 99%, característica adicional reagente P.A., número de referência química CAS 62-76-0. entregue em frasco com 500 g. Atenção: observar a unidade de medida do SIPAC e colocar múltiplo de 500 g.</t>
  </si>
  <si>
    <t>https://www.acsreagentes.com.br/oxalato-de-sodio-pa-acs-500g-acs-cientifica?utm_source=Site&amp;utm_medium=GoogleMerchant&amp;utm_campaign=GoogleMerchant</t>
  </si>
  <si>
    <t>https://www.orionprodutoscientificos.com.br/oxalato-de-sodio-pa-acs-500g-exodo-cientifica?utm_source=Site&amp;utm_medium=GoogleMerchant&amp;utm_campaign=GoogleMerchant</t>
  </si>
  <si>
    <t>https://www.glasslab.com.br/reagentes-e-meios/oxalato-de-sodio-pa-acs-500g?parceiro=6858</t>
  </si>
  <si>
    <t>ÓXIDO DE ALUMINIO P.A. (ALUMINA)</t>
  </si>
  <si>
    <t>CATMAT -412804- Óxido de alumínio, aspecto físico: pó ou grânulos brancos, inodoro, fórmula química: Al2O3, peso molecular: 101,96 g/mol, pureza mínima de 99%, característica adicional: reagente P.A., número de referência química: cas 1344-28-1, entregue em frasco de 500 g. Atenção: observar a unidade de medida do SIPAC e colocar múltiplo de 500 g.</t>
  </si>
  <si>
    <t>https://www.didaticasp.com.br/oxido-de-aluminio-pa-500g</t>
  </si>
  <si>
    <t>https://www.glasslab.com.br/reagentes-e-meios/oxido-de-aluminio-alumina-pa-500g?parceiro=6858</t>
  </si>
  <si>
    <t>ÓXIDO DE CÁLCIO P.A.</t>
  </si>
  <si>
    <t>CATMAT -348679- Óxido de cálcio, aspecto físico pó branco ou levemente amarelado, inodoro, peso molecular 56,08 g/mol, fórmula química CaO, pureza mínima de 95%, característica adicional reagente P.A., número de referência química: CAS 1305-78-8. Entregue em frasco com 500 g. Atenção: observar a unidade de medida do SIPAC e colocar múltiplo de 500 g.</t>
  </si>
  <si>
    <t>https://www.acsreagentes.com.br/oxido-de-calcio-pa-500g-acs-cientifica</t>
  </si>
  <si>
    <t>https://jglab.com.br/produto/oxido-de-calcio-pa-500g/</t>
  </si>
  <si>
    <t>https://www.glasslab.com.br/reagentes-e-meios/oxido-de-calcio-pa-500g?parceiro=6858</t>
  </si>
  <si>
    <t>ÓXIDO DE DEUTÉRIO (99.9 ATOM % D)</t>
  </si>
  <si>
    <t>CATMAT -355020- Óxido de deutério, aspecto físico: líquido límpido, incolor, inodoro, insípido, peso molecular: 20,03 g/mol, fórmula química: D2O, grau de pureza: pureza mínima de 99.9 atom % D, característica adicional: reagente, número de referência química: cas 7789-20-0, entregue em frasco de 25 g. Atenção: observar a unidade de medida do SIPAC e colocar múltiplo de 25 g.</t>
  </si>
  <si>
    <t>https://www.sigmaaldrich.com/BR/pt/product/aldrich/151890</t>
  </si>
  <si>
    <t>PARAFINA HISTOLÓGICA SÓLIDA 58 A 62 EM PASTILHA</t>
  </si>
  <si>
    <t>CATMAT -464232- Parafina, aspecto físico histológica, sólida, branca, ponto fusão 58 a 62, apresentação em pastilha</t>
  </si>
  <si>
    <t>https://www.lojasynth.com/reagentes-analiticosmaterias-primas/reagentes-analiticosmaterias-primas/parafina-58-62-granulada?parceiro=2827</t>
  </si>
  <si>
    <t>https://www.orionprodutoscientificos.com.br/parafina-histologica-58-62-2kg-exodo-cientifica?utm_source=Site&amp;utm_medium=GoogleMerchant&amp;utm_campaign=GoogleMerchant</t>
  </si>
  <si>
    <t>PERMANGANATO DE POTÁSSIO P.A. ACS</t>
  </si>
  <si>
    <t>CATMAT -380907- Permanganato de potássio, aspecto físico pó cristalino marrom violáceo, inodoro, fórmula química KMnO4, peso molecular 158,03 g/mol, pureza mínima de 99%, característica adicional reagente P.A. ACS, número de referência química CAS 7722-64-7</t>
  </si>
  <si>
    <t>https://www.glasslab.com.br/reagentes-e-meios/permanganato-de-potassio-pa-acs-1kg?parceiro=6858&amp;gclid=Cj0KCQiAu62QBhC7ARIsALXijXThVs4prkyJKTzAOsQW6gfMfdUNrqoBafdHuMhpk1gaTfvaxrhpSGQaAu3ZEALw_wcB</t>
  </si>
  <si>
    <t>PERMANGANATO DE POTASSIO PA 1KG *PF/SSP - Didática SP (didaticasp.com.br)</t>
  </si>
  <si>
    <t>PERÓXIDO DE HIDROGÊNIO 35% P.A. 130 VOLUMES</t>
  </si>
  <si>
    <t>CATMAT -412697- Peróxido de hidrogênio, aspecto físico: líquido incolor, instável, corrosivo, composição básica: H202, peso molecular: 34,01 g/mol, teor de 35%, característica adicional: reagente P.A., número de referência química: CAS 7722-84-1.</t>
  </si>
  <si>
    <t>https://www.glasslab.com.br/reagentes-e-meios/peroxido-de-hidrogenio-35-130v-pa-1l?parceiro=6858</t>
  </si>
  <si>
    <t>https://www.acsreagentes.com.br/peroxido-de-hidrogenio-35-130-vol-agua-oxigenada-pa-1l-acs-cientifica?utm_source=Site&amp;utm_medium=GoogleMerchant&amp;utm_campaign=GoogleMerchant</t>
  </si>
  <si>
    <t>https://jglab.com.br/produto/peroxido-de-hidrogenio-frasco-plastico-35-130-volumes-pa-1l/?gclid=Cj0KCQiAu62QBhC7ARIsALXijXTTAEeEO7ocsNIQ6jFi6Wgp5sgE2amQwCxnhhY6lT-HOiHUMBpG29IaAivbEALw_wcB</t>
  </si>
  <si>
    <t>PRETO DE ERIOCROMO T PA</t>
  </si>
  <si>
    <t>CATMAT -354392- Negro de eriocromo t, peso molecular: 461,38 g/mol, aspecto físico: pó escuro, preto marrom, inodoro, fórmula química: C20H12N3O7SNa, característica adicional: reagente P.A., número de referência química: CAS 1787-61-7, entregue em frasco com 25 g. Atenção: observar a unidade de medida do SIPAC e colocar múltiplo de 25 g.</t>
  </si>
  <si>
    <t>https://jglab.com.br/produto/preto-de-eriocromo-t-ci-14645-pa-acs/?attribute_embalagem=25g</t>
  </si>
  <si>
    <t>https://www.laderquimica.com.br/preto-de-eriocromo-t-pa-25g-neon?utm_source=Site&amp;utm_medium=GoogleMerchant&amp;utm_campaign=GoogleMerchant</t>
  </si>
  <si>
    <t>https://www.glasslab.com.br/reagentes-e-meios/preto-de-eriocromo-t-ci-14645-pa-acs-25g?parceiro=6858</t>
  </si>
  <si>
    <t>REAGENTE BRADFORD FRASCO 500 ML</t>
  </si>
  <si>
    <t>CATMAT -338662- Reagente Bradford Corante, tipo: reagente de Bradford, aspecto físico: líquido; FRASCO com 500 mL.</t>
  </si>
  <si>
    <r>
      <rPr>
        <color rgb="FF1155CC"/>
        <u/>
      </rPr>
      <t>https://www.acsreagentes.com.br/reativo-de-bradford-500ml-acs-cientifica?utm_source=Site&amp;utm_medium=GoogleMerchant&amp;utm_campaign=GoogleMerchant</t>
    </r>
    <r>
      <rPr/>
      <t>t</t>
    </r>
  </si>
  <si>
    <t>REATIVO FOLIN CIOCALTEAU 2M 500ML</t>
  </si>
  <si>
    <t>CATMAT -412156- Reagente analítico 4, tipo: reativo de Folin Ciocalteau, aspecto físico: solução aquosa, concentração 2 mol/L frasco 500 mL.</t>
  </si>
  <si>
    <t>https://www.acsreagentes.com.br/reativo-folin-ciocalteau-2n-100ml-acs-cientifica</t>
  </si>
  <si>
    <t>https://www.glasslab.com.br/reagentes-e-meios/folin-ciocalteu-fenol-2m-500ml?parceiro=6858</t>
  </si>
  <si>
    <t>https://www.orionprodutoscientificos.com.br/reativo-folin-ciocalteau-500ml-exodo-cientifica?utm_source=Site&amp;utm_medium=GoogleMerchant&amp;utm_campaign=GoogleMerchant</t>
  </si>
  <si>
    <t>RESINA EPÓXI COM ENDURECEDOR FRACO 1000 G POR COMPONENTE</t>
  </si>
  <si>
    <t>CATMAT -479327- RESINA EPÓXI COM ENDURECEDOR, FRASCOS COM 1KG DE CADA COMPONENTE.</t>
  </si>
  <si>
    <t>SACAROSE P.A.</t>
  </si>
  <si>
    <t>CATMAT -419368- Sacarose, composição química C12H22O11, peso molecular 342,29 g/mol, aspecto físico pó branco cristalino, inodoro, reagente P.A. característica adicional padrão de referência analítico, número de referência química CAS 57-50-1. Entregue em fracos de 1kg</t>
  </si>
  <si>
    <t>https://www.orionprodutoscientificos.com.br/sacarose-sucrose-pa-acs-1kg-acs-cientifica?utm_source=Site&amp;utm_medium=GoogleMerchant&amp;utm_campaign=GoogleMerchant</t>
  </si>
  <si>
    <t>https://www.glasslab.com.br/reagentes-e-meios/sacarose-sucrose-pa-acs-1kg?parceiro=6858</t>
  </si>
  <si>
    <t>https://www.laderquimica.com.br/sacarose-pa-1kg-neon?utm_source=Site&amp;utm_medium=GoogleMerchant&amp;utm_campaign=GoogleMerchant</t>
  </si>
  <si>
    <t>SELENITO DE SÓDIO ANIDRO P.A.</t>
  </si>
  <si>
    <t>CATMAT -356968- Selenito de sódio, aspecto físico: pó geralmente branco, peso molecular: 172,94 g/mol, fórmula química: Na2SeO3, pureza mínima de 98%, característica adicional: reagente P.A., número de referência química: CAS 10102-18-8, entregue em frasco com 100 g. Atenção: observar a unidade de medida do SIPAC e colocar múltiplo de 100 g.</t>
  </si>
  <si>
    <t>https://www.orionprodutoscientificos.com.br/selenito-de-sodio-anidro-pa-100g-acs-cientifica?utm_source=Site&amp;utm_medium=GoogleMerchant&amp;utm_campaign=GoogleMerchant</t>
  </si>
  <si>
    <t>https://www.acsreagentes.com.br/selenito-de-sodio-anidro-pa-100g-acs-cientifica?utm_source=Site&amp;utm_medium=GoogleMerchant&amp;utm_campaign=GoogleMerchant</t>
  </si>
  <si>
    <t>https://www.glasslab.com.br/reagentes-e-meios/selenito-de-sodio-anidro-pa-100g?parceiro=6858</t>
  </si>
  <si>
    <t>SÍLICA GEL 4 A 8 MM FRASCO COM 500 G</t>
  </si>
  <si>
    <t>CATMAT -317830- Sílica gel, composição: sio2, cor: azul, aspecto físico: granulado, aplicação: desumidificar e desidratar gases, características adicionais: indicador de umidade, tamanho grão: 4 a 8 mm, Frasco com 500 g</t>
  </si>
  <si>
    <t>https://www.laderquimica.com.br/silica-gel-azul-4-a-8mm-pa-500g-neon?utm_source=Site&amp;utm_medium=GoogleMerchant&amp;utm_campaign=GoogleMerchant</t>
  </si>
  <si>
    <t>https://www.acsreagentes.com.br/silicagel-azul-4-8mm-pa-500g-acs-cientifica</t>
  </si>
  <si>
    <t>https://www.orionprodutoscientificos.com.br/silica-gel-azul-1-4mm-p-a-500-g-fabricante-neon?utm_source=Site&amp;utm_medium=GoogleMerchant&amp;utm_campaign=GoogleMerchant</t>
  </si>
  <si>
    <t>SILICATO DE SÓDIO (PURO) ANIDRO</t>
  </si>
  <si>
    <t>CATMAT -348972- Silicato de sódio, aspecto físico: pó, cristais ou grânulos brancos, composição química: Na2SiO3 (anidro), peso molecular: 122,06 g/mol, teor mínimo de 50% de SiO2, número de referência química: CAS 6834-92-0, entregue em frasco com 500 g. Atenção: observar a unidade de medida do SIPAC e colocar múltiplo de 500 g.</t>
  </si>
  <si>
    <t>https://www.acsreagentes.com.br/silicato-de-sodio-puro-500g-acs-cientifica</t>
  </si>
  <si>
    <t>https://www.orionprodutoscientificos.com.br/silicato-de-sodio-puro-500g-exodo-cientifica?utm_source=Site&amp;utm_medium=GoogleMerchant&amp;utm_campaign=GoogleMerchant</t>
  </si>
  <si>
    <t>https://jglab.com.br/produto/silicato-de-sodio-puro-500g/</t>
  </si>
  <si>
    <t>Sudan III CI 26100 FRASCO 25 G</t>
  </si>
  <si>
    <t>CATMAT -407914 - Corante, tipo: sudan III, aspecto físico: pó, características adicionais: CI 26100, frasco com 25 g.</t>
  </si>
  <si>
    <t>https://jglab.com.br/produto/sudam-iii-ci-26100-laranja-avermelhado-25g/</t>
  </si>
  <si>
    <t>https://www.acsreagentes.com.br/sudan-iii-ci-26100-25g-acs-cientifica?utm_source=Site&amp;utm_medium=GoogleMerchant&amp;utm_campaign=GoogleMerchant</t>
  </si>
  <si>
    <t>https://www.glasslab.com.br/reagentes-e-meios/sudan-iii-ci-26100-25g?parceiro=6858</t>
  </si>
  <si>
    <t>SULFATO DE ALUMÍNIO ANIDRO P.A.</t>
  </si>
  <si>
    <t>CATMAT -428569- Sulfato de alumínio, aspecto físico: cristal incolor, inodoro, fórmula química: Al2(SO4)3 (anidro), peso molecular: 342,14 g/mol, pureza mínima de 98%, característica adicional: reagente P.A., número de referência química: CAS 10043-01-3, entregue em frasco de 500 g. Atenção: observar a unidade de medida do SIPAC e colocar múltiplo de 500 g.</t>
  </si>
  <si>
    <t>https://www.acsreagentes.com.br/sulfato-de-aluminio-anidro-pa-500g-acs-cientifica?utm_source=Site&amp;utm_medium=GoogleMerchant&amp;utm_campaign=GoogleMerchant</t>
  </si>
  <si>
    <t>https://www.glasslab.com.br/reagentes-e-meios/sulfato-de-aluminio-anidro-pa-500g?parceiro=6858</t>
  </si>
  <si>
    <t>SULFATO DE COBRE II ICO (5H2O) P.A.</t>
  </si>
  <si>
    <t>CATMAT -345770- Sulfato de cobre II, composição química CuSO4.5H2O, aspecto físico fino cristal azul, peso da molécula 249,68 g/mol, pureza mínima de 99%, característica adicional reagente P.A., número de referência química CAS 7758-99-8. fornecimento em frasco de 500 g. Atenção: observar a unidade de medida do SIPAC e colocar múltiplo de 500 g.</t>
  </si>
  <si>
    <t>https://www.acsreagentes.com.br/sulfato-de-cobre-ii-ico-anidro-pa-500g-acs-cientifica?utm_source=Site&amp;utm_medium=GoogleMerchant&amp;utm_campaign=GoogleMerchant</t>
  </si>
  <si>
    <t>https://jglab.com.br/produto/sulfato-de-cobre-ii-5h2o-pa-acs/?attribute_embalagem=500g</t>
  </si>
  <si>
    <t>https://www.orionprodutoscientificos.com.br/sulfato-de-cobre-ii-ico-anidro-pa-250g-acs-cientifica?utm_source=Site&amp;utm_medium=GoogleMerchant&amp;utm_campaign=GoogleMerchant</t>
  </si>
  <si>
    <t>SULFATO DE FERRO II (OSO) E AMÔNIA (6H2O) P.A. (SULFATO FERROSO AMONIACAL)</t>
  </si>
  <si>
    <t>CATMAT -359946- Sulfato de ferro II e amônio (sulfato ferroso amoniacal), aspecto físico cristais verdes, peso molecular 392,14, fórmula química Fe(NH4)2(SO4)2.6H2O, pureza mínimo de 99 %, característica adicional reagente P.A., número de referência química CAS 7783-85-9. Fornecimento em frasco de 500 g. Atenção: observar a unidade de medida do SIPAC e colocar múltiplo de 500.</t>
  </si>
  <si>
    <t>https://www.acsreagentes.com.br/sulfato-de-ferro-ii-oso-e-amonio6-h2oferroso-amoniacal-pa-1kg-acs-cientifica</t>
  </si>
  <si>
    <t>https://www.orionprodutoscientificos.com.br/sulfato-de-ferro-ii-oso-e-amonio6-h2oferroso-amoniacal-pa-500g-acs-cientifica?utm_source=Site&amp;utm_medium=GoogleMerchant&amp;utm_campaign=GoogleMerchant</t>
  </si>
  <si>
    <t>https://jglab.com.br/produto/sulfato-de-ferro-ii-e-amonio-6h2o-pa-acs/?attribute_embalagem=250g&amp;gclid=Cj0KCQiAu62QBhC7ARIsALXijXQrY-Uhccv34Y_mmICUVus6saqr__nJQJTMwGwDSIX8jXyMS6uwhTYaAoRsEALw_wcB</t>
  </si>
  <si>
    <t xml:space="preserve">SULFATO DE MAGNÉSIO (7H2O) P.A. </t>
  </si>
  <si>
    <t>CATMAT -445557- Sulfato de magnésio, aspecto físico: cristal incolor, brilhante, inodoro, amargo, fórmula química: mgSO4.7H2O, massa molecular: 246,48 g/mol, pureza mínima de 98%, característica adicional: reagente P.A., número de referência química: CAS 10034-99-8, entregue em frasco de 500 g. Atenção: observar a unidade de medida do SIPAC e colocar múltiplo de 500 g.</t>
  </si>
  <si>
    <t>https://www.orionprodutoscientificos.com.br/sulfato-de-magnesio-seco-h2o-pa-500g-acs-cientifica?utm_source=Site&amp;utm_medium=GoogleMerchant&amp;utm_campaign=GoogleMerchant</t>
  </si>
  <si>
    <t>https://www.acsreagentes.com.br/sulfato-de-magnesio-7h2o-pa-acs-500g-acs-cientifica?utm_source=Site&amp;utm_medium=GoogleMerchant&amp;utm_campaign=GoogleMerchant</t>
  </si>
  <si>
    <t>https://www.glasslab.com.br/reagentes-e-meios/sulfato-de-magnesio-7h2o-pa-acs-500g?parceiro=6858</t>
  </si>
  <si>
    <t>SULFATO DE POTÁSSIO P.A. ACS</t>
  </si>
  <si>
    <t>CATMAT -357866- Sulfato de potássio, peso molecular: 174,26 g/mol, aspecto físico: cristais brancos, inodoros, fórmula química: K2SO4, pureza mínima de 99%, característica adicional: reagente P.A. ACS, número de referência química: CAS 7778-80-5</t>
  </si>
  <si>
    <t>https://jglab.com.br/produto/sulfato-de-potassio-pa-acs/?attribute_embalagem=500g&amp;gclid=Cj0KCQiAu62QBhC7ARIsALXijXSMDmvcFOvEp9xTIwfO6TjWmOnOFEl4lkKqw3wAiOE5mimDkXfovCkaAvr2EALw_wcB</t>
  </si>
  <si>
    <t>https://www.orionprodutoscientificos.com.br/sulfato-de-potassio-pa-acs-1kg-acs-cientifica?utm_source=Site&amp;utm_medium=GoogleMerchant&amp;utm_campaign=GoogleMerchant</t>
  </si>
  <si>
    <t>https://www.acsreagentes.com.br/sulfato-de-potassio-pa-acs-500g-acs-cientifica</t>
  </si>
  <si>
    <t>SULFATO DE SÓDIO ANIDRO P.A.</t>
  </si>
  <si>
    <t xml:space="preserve">CATMAT -352843- Sulfato de sódio, aspectos físicos finos grânulos brancos cristalinos, inodoros, peso molecular 142,04 g/mol, fórmula química Na2SO4 anidro, pureza mínima de 99%, característica adicional reagente P.A., número de referência química CAS 7757-82-6. Entregue em frascos de 1000. Atenção: observar a unidade de medida do SIPAC e colocar múltiplo de 1000 g.
</t>
  </si>
  <si>
    <t>https://www.google.com/search?q=SULFATO+DE+S%C3%93DIO+ANIDRO+P.A.&amp;sa=X&amp;rlz=1C1ISCS_pt-PTBR945BR945&amp;biw=1280&amp;bih=625&amp;tbm=shop&amp;ei=3nILYtGzOcW_5OUP6MaK2AI&amp;ved=0ahUKEwjRmqmMs4H2AhXFH7kGHWijAisQ4dUDCAY&amp;uact=5&amp;oq=SULFATO+DE+S%C3%93DIO+ANIDRO+P.A.&amp;gs_lcp=Cgtwcm9kdWN0cy1jYxADMggIABCwAxCiBEoECEEYAVCI9w9YiPcPYLv4D2gFcAB4AIABAIgBAJIBAJgBAKABAqABAcgBAcABAQ&amp;sclient=products-cc</t>
  </si>
  <si>
    <t>https://www.acsreagentes.com.br/sulfato-de-sodio-anidro-pa-1kg-acs-cientifica</t>
  </si>
  <si>
    <t>https://www.didaticasp.com.br/sulfato-de-sodio-anidro-pa-1kg</t>
  </si>
  <si>
    <t>SULFETO DE SÓDIO (9H2O) P.A.</t>
  </si>
  <si>
    <t>CATMAT -382558- Sulfeto de sódio, aspecto físico: cristal ou floco, branco a amarelado, odor podre, peso molecular: 240,18 g/mol, fórmula química: Na2S.9H2O (nona-hidratado), pureza mínima de 98%, característica adicional: reagente P.A., número de referência química: CAS 1313-84-4. Entregue em frasco de 500 g. Atenção: observar a unidade de medida do SIPAC e colocar múltiplo de 500 g.</t>
  </si>
  <si>
    <t>https://www.glasslab.com.br/reagentes-e-meios/sulfeto-de-sodio-9h2o-pa-acs-500g?parceiro=6858</t>
  </si>
  <si>
    <t>SULFITO DE SÓDIO ANIDRO P.A.</t>
  </si>
  <si>
    <t>CATMAT -360465- Sulfito de sódio, aspecto físico pó cristalino ou granulado branco, fórmula química Na2SO3 (anidro), peso molecular 126,04 g/mol, pureza mínima de 98%, característica adicional reagente P.A., número de referência química CAS 7757-83-7. Entregue em frascos de 500 g. Atenção: observar a unidade de medida do SIPAC e colocar múltiplo de 500 g.</t>
  </si>
  <si>
    <t>https://www.orionprodutoscientificos.com.br/sulfito-de-sodio-anidro-pa-1kg-acs-cientifica?utm_source=Site&amp;utm_medium=GoogleMerchant&amp;utm_campaign=GoogleMerchant</t>
  </si>
  <si>
    <t>https://www.glasslab.com.br/reagentes-e-meios/sulfito-de-sodio-anidro-pa-500g?parceiro=6858&amp;gclid=Cj0KCQiAu62QBhC7ARIsALXijXRKRfPPF-nq1ty31bnIth6yAqUZVsrs1rxwnwip16-k1WF6zPNfufYaAlXGEALw_wcB</t>
  </si>
  <si>
    <t>https://www.acsreagentes.com.br/sulfito-de-sodio-anidro-pa-500g-acs-cientifica?utm_source=Site&amp;utm_medium=GoogleMerchant&amp;utm_campaign=GoogleMerchant</t>
  </si>
  <si>
    <t>TARTARATO DE SÓDIO E POTÁSSIO (4H2O) P.A</t>
  </si>
  <si>
    <t>CATMAT -348685- Tartarato de sódio e potássio, peso molecular 282,22 g/mol, aspecto físico pó branco ou cristal incolor, inodoro, fórmula química NaKC4H4O6.4H2O, pureza mínima de 99%, característica adicional reagente P.A., número de referência química: CAS 6381-59-5, entregue em frasco de 500g. Atenção: observar a unidade de medida do SIPAC e colocar múltiplo de 500 g.</t>
  </si>
  <si>
    <t>https://jglab.com.br/produto/tartarato-de-sodio-e-potassio-4h2o-pa/?attribute_embalagem=1kg&amp;gclid=Cj0KCQiAu62QBhC7ARIsALXijXQUW67wEOT9NOEf0C0Q3B4ZDRdO3INRDyEjaW-Afr05IqSOdaOZMgcaAgDJEALw_wcB</t>
  </si>
  <si>
    <t>https://www.acsreagentes.com.br/tartarato-de-sodio-e-potassio-4h2o-pa-acs-500g-acs-cientifica</t>
  </si>
  <si>
    <t>https://www.glasslab.com.br/reagentes-e-meios/tartarato-de-sodio-e-potassio-pa-acs-1kg?parceiro=6858</t>
  </si>
  <si>
    <t xml:space="preserve">TETRABORATO DE SÓDIO (10H2O) P.A. ACS BORAX        </t>
  </si>
  <si>
    <t>CATMAT -366478- Tetraborato de sódio, peso molecular: 381,37 g/mol, aspecto físico: pó branco, cristalino, inodoro, fórmula química: Na2B4O7.10H2O (deca-hidratado), pureza mínima de 99,5%, característica adicional: reagente P.A. ACS, número de referência química: CAS 1303-96-4. Entregue em frascos de 500 g. Atenção: observar a unidade de medida do SIPAC e colocar múltiplo de 500 g.</t>
  </si>
  <si>
    <t>https://www.glasslab.com.br/reagentes-e-meios/tetraborato-de-sodio-10h2o-borax-pa-500g?parceiro=6858&amp;gclid=Cj0KCQiAu62QBhC7ARIsALXijXS9vgfj33suZry-7YA1NywkqyHIYYOWRFqHrGwRoyNO-B0C08bw1y8aAnCbEALw_wcB</t>
  </si>
  <si>
    <t>https://www.google.com/search?q=TETRABORATO+DE+S%C3%93DIO+%2810H2O%29+P.A.+ACS+BORAX++++++++&amp;sa=X&amp;rlz=1C1ISCS_pt-PTBR945BR945&amp;biw=1280&amp;bih=625&amp;tbm=shop&amp;ei=o2wLYonPJ_XE5OUPleO2uAg&amp;ved=0ahUKEwjJrNCTrYH2AhV1IrkGHZWxDYcQ4dUDCAY&amp;uact=5&amp;oq=TETRABORATO+DE+S%C3%93DIO+%2810H2O%29+P.A.+ACS+BORAX++++++++&amp;gs_lcp=Cgtwcm9kdWN0cy1jYxADMgUIABCiBEoECEEYAVD26A1Y9ugNYLPvDWgEcAB4AIAB1wGIAdcBkgEDMi0xmAEAoAECoAEBwAEB&amp;sclient=products-cc</t>
  </si>
  <si>
    <t>https://www.acsreagentes.com.br/tetraborato-de-sodio-10h2o-pa-borax-500g-acs-cientifica</t>
  </si>
  <si>
    <t>TETRABORATO DE SÓDIO ANIDRO P.A. (BÓRAX)</t>
  </si>
  <si>
    <t>CATMAT -366480- Tetraborato de sódio, peso molecular: 210,22 g/mol, aspecto físico: pó branco, cristalino, inodoro, fórmula química: Na2B4O7 anidro, pureza mínima de 99,5%, característica adicional: reagente P.A., número de referência química: CAS 1330-43-4, entregue em frasco de 500 g. Atenção: observar a unidade de medida do SIPAC e colocar múltiplo de 500 g.</t>
  </si>
  <si>
    <t>https://www.orionprodutoscientificos.com.br/tetraborato-de-sodio-anidro-pa-borax-500g-acs-cientifica?utm_source=Site&amp;utm_medium=GoogleMerchant&amp;utm_campaign=GoogleMerchant</t>
  </si>
  <si>
    <t>https://www.glasslab.com.br/reagentes-e-meios/tetraborato-de-sodio-anidro-pa-500g?parceiro=6858</t>
  </si>
  <si>
    <t>https://www.google.com/search?q=TETRABORATO+DE+S%C3%93DIO+ANIDRO+P.A.+%28B%C3%93RAX%29&amp;sa=X&amp;rlz=1C1ISCS_pt-PTBR945BR945&amp;biw=1280&amp;bih=625&amp;tbm=shop&amp;ei=02sLYq-UK-Oc5OUP5JyFsAY&amp;ved=0ahUKEwjvybywrIH2AhVjDrkGHWROAWYQ4dUDCAY&amp;uact=5&amp;oq=TETRABORATO+DE+S%C3%93DIO+ANIDRO+P.A.+%28B%C3%93RAX%29&amp;gs_lcp=Cgtwcm9kdWN0cy1jYxADSgQIQRgAUABYAGDZAWgAcAB4AIABAIgBAJIBAJgBAKABAqABAcABAQ&amp;sclient=products-cc#spd=0</t>
  </si>
  <si>
    <t>ETILENOGLICOL MONOMETIL ÉTER (2-METOXIETANOL) P.A.</t>
  </si>
  <si>
    <t>CATMAT -413588- Etilenoglicol Monometil Éter (2-metoxietanol) 99% P.A.; Líquido transparente; Fórmula C3H8O2; Peso molecular 76,09g/mol; CAS 109-86-4.</t>
  </si>
  <si>
    <t>https://www.glasslab.com.br/reagentes-e-meios/etileno-glicol-mono-etil-eter-pa-1l?parceiro=6858</t>
  </si>
  <si>
    <t>https://www.lojasynth.com/reagentes-analiticosmaterias-primas/reagentes-analiticosmaterias-primas/etileno-glicol-1100g-p-a?parceiro=2827</t>
  </si>
  <si>
    <t>TIOUREIA P.A.</t>
  </si>
  <si>
    <t>CATMAT -414655-Tioureia, aspecto físico: cristal branco, inodoro, fórmula química: NH2CSNH2 anidro, peso molecular: 76,12 g/mol, pureza mínima de 99%, característica adicional: reagente P.A., número de referência química: CAS 62-56-6. Entregue em frascos de 500 g. Atenção: observar a unidade de medida do SIPAC e colocar múltiplo de 500 g.</t>
  </si>
  <si>
    <t>https://jglab.com.br/produto/tioureia-pa-acs-500g/?gclid=Cj0KCQiAu62QBhC7ARIsALXijXSsxZ0if2yNe-39cosT-ENisnBG76PPXOPGh77F4uD3RRgFH2-5bvUaAp8bEALw_wcB</t>
  </si>
  <si>
    <t>https://www.orionprodutoscientificos.com.br/tioureia-pa-acs-500g-acs-cientifica?utm_source=Site&amp;utm_medium=GoogleMerchant&amp;utm_campaign=GoogleMerchant</t>
  </si>
  <si>
    <t>https://www.acsreagentes.com.br/tioureia-p-eletrodo-250ml-acs-cientifica</t>
  </si>
  <si>
    <t>TOLUENO (TOLUOL) P.A.</t>
  </si>
  <si>
    <t>CATMAT -380337- Tolueno, aspecto físico: líquido incolor, odor característico de benzeno, composição química: C6H5CH3, peso molecular: 92,14 g,mol, pureza mínima de 99,5%, característica adicional: reagente P.A., número de referência química: CAS 108-88-3.</t>
  </si>
  <si>
    <t>https://www.glasslab.com.br/reagentes-e-meios/tolueno-toluol-pa-acs-1l?parceiro=6858</t>
  </si>
  <si>
    <t>https://www.didaticasp.com.br/tolueno-toluol-pa-1l-pfssp</t>
  </si>
  <si>
    <t>TREALOSE (2H2O) TESTADA EM CULTURA DE CÉLULAS 25G</t>
  </si>
  <si>
    <t>CATMAT -351979- Trealose, aspecto físico: pó branco, cristalino, fórmula química: C12H22O11.2H2O (di-hidratada), peso molecular: 378,33 g/mol, pureza mínima de 99%, característica adicional: testada em cultura de células, número de referência química: CAS 6138-23-4,  frasco com 25g.</t>
  </si>
  <si>
    <t xml:space="preserve">FRASCO </t>
  </si>
  <si>
    <t>https://www.acsreagentes.com.br/trealose-d-2-h2o-pa-25g-acs-cientifica?utm_source=Site&amp;utm_medium=GoogleMerchant&amp;utm_campaign=GoogleMerchant</t>
  </si>
  <si>
    <t>https://www.glasslab.com.br/reagentes-e-meios/trealose-d-2h2o-pa-25g?parceiro=6858&amp;gclid=CjwKCAjwloCSBhAeEiwA3hVo_XLa1tRsILazM18L2uJ6hMou0y3BUMZECAi_hIuK-pmgx-BJxoMzthoCkaYQAvD_BwE</t>
  </si>
  <si>
    <t>TRIETILENOGLICOL PURO</t>
  </si>
  <si>
    <t>CATMAT -374769- Trietilenoglicol, aspecto físico: líquido límpido, incolor, inodoro, peso molecular: 150,17 g/mol, fórmula química: C6H14O4, pureza mínima de 99%, número de referência química: CAS 112-27-6</t>
  </si>
  <si>
    <t>https://www.acsreagentes.com.br/trietilenoglicol-puro-1l-acs-cientifica</t>
  </si>
  <si>
    <t>https://jglab.com.br/produto/trietilenoglicol-puro-1l/</t>
  </si>
  <si>
    <t>https://www.didaticasp.com.br/trietilenoglicol-puro-1l</t>
  </si>
  <si>
    <t>TRIFENIL TETRAZOLIO CLORETO 2,3,5 P.A.</t>
  </si>
  <si>
    <t>CATMAT - 378141 - Trifeniltetrazólio, aspecto físico: pó branco, levemente amarelado, fórmula química: C19H15ClN4 (trifenil tetrazólio cloreto 2,3,5), peso molecular: 334,81 g/mol, pureza mínima de 98%, número de referência química: CAS 298-96-4. Entregue em frascos com 10 g. Atenção: observar a unidade de medida do SIPAC e colocar múltiplo de 10 g.</t>
  </si>
  <si>
    <t>https://www.acsreagentes.com.br/trifenil-tetrazolio-cloreto-235-ttc-pa-10g-acs-cientifica?utm_source=Site&amp;utm_medium=GoogleMerchant&amp;utm_campaign=GoogleMerchant</t>
  </si>
  <si>
    <t>https://www.orionprodutoscientificos.com.br/cloreto-de-235-trifeniltetrazolio-p-a-ttc-10g-exodo-cientifica?utm_source=Site&amp;utm_medium=GoogleMerchant&amp;utm_campaign=GoogleMerchant</t>
  </si>
  <si>
    <t>https://jglab.com.br/produto/235-trifenil-tetrazolio-cloreto-pa-10g/</t>
  </si>
  <si>
    <t>UREIA P.A.</t>
  </si>
  <si>
    <t>CATMAT -359223- Uréia, aspecto físico pó incolor a esbranquiçado, cristalino, peso molecular 60,06 g/mol, fórmula química CH4N2O, pureza mínima de 98%, característica adicional reagente P.A., número de referência química: CAS 57-13-6, entregue em frascos de 500 g. Atenção: observar a unidade de medida do SIPAC e colocar múltiplo de 500 g.</t>
  </si>
  <si>
    <t>https://jglab.com.br/produto/ureia-pa-acs-500g/</t>
  </si>
  <si>
    <t>https://www.orionprodutoscientificos.com.br/ureia-carbamida-pa-acs-500g-acs-cientifica?utm_source=Site&amp;utm_medium=GoogleMerchant&amp;utm_campaign=GoogleMerchant</t>
  </si>
  <si>
    <t>https://www.laderquimica.com.br/ureia-pa-1kg-neon?utm_source=Site&amp;utm_medium=GoogleMerchant&amp;utm_campaign=GoogleMerchant</t>
  </si>
  <si>
    <t>VERDE BROMOCRESOL FRASCO 25 G</t>
  </si>
  <si>
    <t>CATMAT -327508- Corante, tipo: verde de bromocresol P.A. ACS, aspecto físico: pó, frasco com 25g.</t>
  </si>
  <si>
    <t>https://www.glasslab.com.br/reagentes-e-meios/verde-bromocresol-pa-25g?parceiro=6858</t>
  </si>
  <si>
    <t>https://www.orionprodutoscientificos.com.br/verde-de-bromocresol-p-a-acs-25-g-fabricante-neon?utm_source=Site&amp;utm_medium=GoogleMerchant&amp;utm_campaign=GoogleMerchant</t>
  </si>
  <si>
    <t>https://www.didaticasp.com.br/verde-de-bromocresol-25g</t>
  </si>
  <si>
    <t>VERMELHO DE ALIZARINA S CI 58005 FRASCO 25 G</t>
  </si>
  <si>
    <t>CATMAT -327506-  Vermelho de alizarina S P.A. (sinônimos: alizarin red S, alizarina sódica), corante, aspecto físico: pó, CI. 58005, número de referência química: CAS130-22-3, frasco com 25 g.</t>
  </si>
  <si>
    <t>https://www.lojasynth.com/reagentes-analiticosmaterias-primas/reagentes-analiticosmaterias-primas/alizarina-ci-58000-p-a?parceiro=2827</t>
  </si>
  <si>
    <t>https://www.acsreagentes.com.br/alizarina-ci-58000-pa-25g-acs-cientifica</t>
  </si>
  <si>
    <t>https://www.glasslab.com.br/reagentes-e-meios/alizarina-ci-58000-pa-25g?parceiro=6858</t>
  </si>
  <si>
    <t>VERMELHO DE METILA P.A. ACS FRASCO 25 G</t>
  </si>
  <si>
    <t>CATMAT -374994- Corante, aspecto físico: pó, tipo : vermelho de metila, P.A. ACS, número de referência química: CI 13020, frasco de 25 g.</t>
  </si>
  <si>
    <r>
      <rPr>
        <color rgb="FF1155CC"/>
        <u/>
      </rPr>
      <t>https://www.acsreagentes.com.br/vermelho-de-metila-pa-ci-13020-25g-acs-cientifica?utm_source=Site&amp;utm_medium=GoogleMerchant&amp;utm_campaign=GoogleMerchant</t>
    </r>
    <r>
      <rPr/>
      <t>t</t>
    </r>
  </si>
  <si>
    <t>https://www.didaticasp.com.br/vermelho-de-metila-pa-25g</t>
  </si>
  <si>
    <t>XILENO P.A. ACS</t>
  </si>
  <si>
    <t>CATMAT -346185-  Xileno, aspecto físico: líquido límpido, incolor, inflamável, peso molecular: 106,17 g/mol, fórmula química: C6H4(CH3)2 - mistura de isômeros orto, para e meta, pureza mínima de 98%, característica adicional: reagente P.A. ACS, número de referência química: CAS 1330-20-7</t>
  </si>
  <si>
    <t>https://jglab.com.br/produto/xileno-xilol-pa-acs-1l/?gclid=Cj0KCQiAmKiQBhClARIsAKtSj-lXIT30qkAJEZpZnM0WI05VTrx6aIrUcO_vpWld9eqUaBKFt69crAsaAoIUEALw_wcB</t>
  </si>
  <si>
    <t>https://www.glasslab.com.br/reagentes-e-meios/xilol-xileno-pa-acs-1l?parceiro=6858</t>
  </si>
  <si>
    <t>https://www.orionprodutoscientificos.com.br/xileno-p-a-acs-1000-ml-fabricante-neon?utm_source=Site&amp;utm_medium=GoogleMerchant&amp;utm_campaign=GoogleMerchant</t>
  </si>
  <si>
    <t xml:space="preserve">ÓLEO PARA BOMBA DE VÁCUO ISO VG 32 </t>
  </si>
  <si>
    <t>CATMAT -473723- Óleo lubrificante bomba de vácuo ISO VG 32</t>
  </si>
  <si>
    <t>https://www.refrigeracaocatavento.com.br/outras-categorias/compressores/oleo-montreal-prime-iso-vg-32-1l?parceiro=6374</t>
  </si>
  <si>
    <t>https://www.eletrofrigor.com.br/oleo-sintetico-iso32-gas-r134a-montreal-litro.html</t>
  </si>
  <si>
    <t>ÓLEO BOMBA DE VÁCUO ISO VG 46 FRASCO 500 ML</t>
  </si>
  <si>
    <t>CATMAT -461654- Óleo lubrificante bomba de vácuo ISO VG 46, frasco com 500 mL</t>
  </si>
  <si>
    <t>https://www.samatec.com.br/oleo-lubrificante-bomba-de-vacuo-iso-vg-46-500ml--suryhaoleo-lubrificante-bomba-de-vacuo-iso-vg-46-500ml--suryha/p?idsku=2001968&amp;gclid=Cj0KCQiA09eQBhCxARIsAAYRiykcNLmql6hPLzJr-2ss_FanoMfjkmdDZoKeS5JyVvQi5y88_BxltPMaAlcYEALw_wcB</t>
  </si>
  <si>
    <t>https://refrigeracao.suryha.com.br/produto/80156.001/oleo-lubrificante-bomba-de-vacuo-500ml-iso-vg-46?gclid=Cj0KCQiA09eQBhCxARIsAAYRiykIZt7VaEJRl92sGt5clAsfCgB8BajL4JpE4flOhiKlz7GcWA_MuCIaAnHcEALw_wcB</t>
  </si>
  <si>
    <t>https://www.frigelar.com.br/oleo-mineral-iso-46-sintetico-bomba-vacuo-1l/p/kit3712?gclid=Cj0KCQiA09eQBhCxARIsAAYRiynjO-CgfILDSlJy6_JekHS9RN0kEP7rs6lPuN9eU7xJBNKOIqDKm7saAoqkEALw_wcB</t>
  </si>
  <si>
    <t>FERRO REDUZIDO P.A.</t>
  </si>
  <si>
    <t>CATMAT -353654- Ferro elementar, aspecto físico: pó agulhado cinza, fórmula química: Fe, peso molecular: 55,85 g/mol, teor de pureza: pureza mínima de 99%, característica adicional: reagente P.A., número de referência química: CAS 7439-89-6, entregue em frasco de 500 g. Atenção: observar a unidade de medida do SIPAC e colocar múltiplo de 500 g.</t>
  </si>
  <si>
    <t>Ferro Metálico Reduzido em Pó P.A. 500 g Fabricante Neon - orionprodutoscientificos</t>
  </si>
  <si>
    <t>FERRO REDUZIDO PA 500G - Didática SP (didaticasp.com.br)</t>
  </si>
  <si>
    <t>FERRO REDUZIDO PO PA - 1KG - GLASSLAB - Materiais, Instrumentos e Equipamentos para Laboratório</t>
  </si>
  <si>
    <t>HIDRÓXIDO DE POTÁSSIO P.A.</t>
  </si>
  <si>
    <t>CATMAT - 347797 - Hidróxido de potássio, aspecto físico: escama ou lentilha branca, inodora, higroscópica, peso molecular: 56,11 g/mol, fórmula química: KOH, teor mínimo de 85%, característica adicional: reagente P.A., número de referência química: CAS 1310-58-3, entregue em frasco com 1000 g. Atenção: observar a unidade de medida do SIPAC e colocar múltiplo de 1000 g.</t>
  </si>
  <si>
    <t>https://www.glasslab.com.br/reagentes-e-meios/hidroxido-de-potassio-escamas-pa-1kg?parceiro=6858</t>
  </si>
  <si>
    <t>https://www.didaticasp.com.br/hidroxido-de-potassio-pa-1kg-pfssp</t>
  </si>
  <si>
    <t>FENILTIOCARBAMIDA (FENILTIOUREIA)</t>
  </si>
  <si>
    <t>CATMAT -377674- N-feniltioureia, aspecto físico: pó cristalino esbranquiçado, fórmula química: C6H5NHCSNH2 (1-fenil-2-tioureia), peso molecular: 152,23 g/mol, grau de pureza: pureza mínima de 98%, número de referência química: CAS 103-85-5, entregue em 10 g. Atenção: observar a unidade de medida do SIPAC e colocar múltiplo de 10 g.</t>
  </si>
  <si>
    <t>https://www.orionprodutoscientificos.com.br/feniltiocarbamida-feniltioureia-pa-5g-exodo-cientifica?utm_source=Site&amp;utm_medium=GoogleMerchant&amp;utm_campaign=GoogleMerchant</t>
  </si>
  <si>
    <t>ÁLCOOL TERC-AMÍLICO</t>
  </si>
  <si>
    <t>CATMAT -445402- Álcool terc-amílico, aspecto físico líquido límpido, fórmula química: CH3CH2C(CH3)2OH,   2-metil-2-butanol, peso molecular: 88.15 g/mol, grau de pureza mínima de 99%, número de referência química: CAS 75-85-4</t>
  </si>
  <si>
    <t>2-Methyl-2-butanol - tert-Pentyl alcohol, tert-Amyl alcohol (sigmaaldrich.com)</t>
  </si>
  <si>
    <t>Álcool terc-Amílico P.A. 1000 mL Fabricante Neon - orionprodutoscientificos</t>
  </si>
  <si>
    <t>AZUL DE METILENO</t>
  </si>
  <si>
    <t>AZUL DE METILENO - FORMULA QUIMICA: C16H18CIN3S, PESO MOLECULAR: 319.85, CONCENTRAÇÃO: 1.5% (1.5 G/ 100 ML), DENSIDADE: 1.0 G/ML AT 20 °C. FRASCO COM 25 G.</t>
  </si>
  <si>
    <t xml:space="preserve">AZUL DE METILENO FRASCO 25 G	</t>
  </si>
  <si>
    <t>CATMAT -331361- Azul de metileno, aspecto físico pó, fórmula química: C16H18CIN3S.3H2O, peso molecular: 373,90 g/mol, pureza mínima de 97%, características adicionais CI 52015. Frasco com 25g.</t>
  </si>
  <si>
    <t>BENZOATO DE COLESTERIL FRASCO 25 G</t>
  </si>
  <si>
    <t xml:space="preserve">BENZOATO DE COLESTERIL DE FÓRMULA QUÍMICA:C34H50O2, NA FORMA DE CRISTAL LÍQUIDO. PESO MOLECULAR 490.76. CAS 604-32-0. FRASCO COM 25G </t>
  </si>
  <si>
    <t>Cholesteryl benzoate 98 604-32-0 (sigmaaldrich.com)</t>
  </si>
  <si>
    <t>CLOROFÓRMIO DEUTERADO FRASCO 50 ML</t>
  </si>
  <si>
    <t>CATMAT -419337 - Clorofórmio, aspecto físico líquido límpido, incolor, odor agradável, peso molecular 120,38 g/mol, fórmula química CDCl3 (clorofórmio deuterado), pureza isotópica de 99,8 átomos % D, número de referência química: CAS 865-49-6, frasco 50 mL.</t>
  </si>
  <si>
    <t>Chloroform-d D 99.8atom 865-49-6 (sigmaaldrich.com)</t>
  </si>
  <si>
    <t>Clorofórmio-D RMN 99,8%D Acros - ForlabExpress</t>
  </si>
  <si>
    <t>CRISTAL LÍQUIDO 5CB FRASCO 1 G</t>
  </si>
  <si>
    <t>CRISTAL LÍQUIDO 5CB, COMPOSTO ORGÂNICO LÍQUIDO CRISTALINO DE ESTRUTURA QUÍMICA 4-CYANO-4-PENTYLBIPHENYL, 4-PENTYL-4-CYANOBIPHENYL. COMPOSTO APRESENTANDO MESOFASE NEMÁTICA. FRASCO COM 1G.</t>
  </si>
  <si>
    <t>CRISTAL LÍQUIDO 8CB FRASCO 1 G</t>
  </si>
  <si>
    <t>CRISTAL LÍQUIDO 8CB, COMPOSTO ORGÂNICO LÍQUIDO CRISTALINO DE ESTRUTURA QUÍMICA CH3(CH2)7OC6H4C6H4CN. COMPOSTO APRESENTANDO MESOFASE NEMÁTICA E ESMÉTICA. FRASCO COM 1G.</t>
  </si>
  <si>
    <t>CRISTAL LÍQUIDO MBBA FRASCO 5G</t>
  </si>
  <si>
    <t>CRISTAL LÍQUIDO MBBA, COMPOSTO ORGÂNICO LÍQUIDO CRISTALINO DE ESTRUTURA QUÍMICA CH3(CH2)3C6H4N=CHC6H4OCH3. COMPOSTO APRESENTANDO MESOFASE NEMÁTICA. FRASCO COM 5G.</t>
  </si>
  <si>
    <t>FENOL PH 8,0 ULTRAPURO FRASCO 1L</t>
  </si>
  <si>
    <t>CATMAT -460745- Fenol equilibrado pH 8,0 ultra puro, frasco 1L</t>
  </si>
  <si>
    <t>Phenol Equilibrated with 10 mM Tris HCl, pH 8.0, 1 mM EDTA, BioReagent, for molecular biology 108-95-2 (sigmaaldrich.com)</t>
  </si>
  <si>
    <t>KIT DE ESPUMA DE POLIURETANO (PU) BICOMPONENTE</t>
  </si>
  <si>
    <t>CATMAT -227714- Kit de Espuma de Poliuretano (Pu) bicomponente, com 1,0 Kg do Componente Tipo A (Poliol) e 1,1 Kg do Componente Tipo B (Isocianato). O item deve acompanhar instruções de uso.</t>
  </si>
  <si>
    <t>KIT</t>
  </si>
  <si>
    <t>https://www.lojaretapol.com.br/resinas/poliuretano-liquido-p-expansao-kit-c-2kg-a-b-retafoam?parceiro=3180</t>
  </si>
  <si>
    <t>NANOPARTÍCULAS DE OURO DE 10NM DE DIÂMETRO FRASCO 25 ML</t>
  </si>
  <si>
    <t>NANOPARTÍCULAS DE OURO DE 10NM DE DIÂMETRO, SUSPENSÃO ESTABILIZADA EM TAMPÃO CITRATO. PESO MOLECULAR 196.97, COM ESTRUTURA ESFÉRICA COM UMA GRANDE RELAÇÃO SUPERFÍCIE / VOLUME E EXCELENTE BIOCOMPATIBILIDADE.  FRASCO COM 25ML</t>
  </si>
  <si>
    <t>Gold nanoparticles 10 nm diameter, OD 1, stabilized suspension in citrate buffer Au NP (sigmaaldrich.com)</t>
  </si>
  <si>
    <t>NANOPARTÍCULAS DE OURO DE 5NM DE DIÂMETRO FRASCO 25 G</t>
  </si>
  <si>
    <t>NANOPARTÍCULAS DE OURO DE 5NM DE DIÂMETRO, SUSPENSÃO ESTABILIZADA EM TAMPÃO CITRATO. PESO MOLECULAR 196.97, COM ESTRUTURA ESFÉRICA COM UMA GRANDE RELAÇÃO SUPERFÍCIE / VOLUME E EXCELENTE BIOCOMPATIBILIDADE. FRASCO COM 25ML.</t>
  </si>
  <si>
    <t>Gold nanoparticles 5 nm diameter, OD 1, stabilized suspension in citrate buffer Au NP (sigmaaldrich.com)</t>
  </si>
  <si>
    <t>NANOPARTÍCULAS DE PRATA DE DIÂMETRO &lt; 100NM FRASCO 5 G</t>
  </si>
  <si>
    <t>NANOPARTÍCULAS DE PRATA DE DIÂMETRO &lt; 100NM , CONTENDO PVP COMO DISPERSANTE. PESO MOLECULAR 107.87. FRASCO 5G.</t>
  </si>
  <si>
    <t>Silver nanopowder, particle size 100nm, PVP dispersant, 99.5 trace metals 7440-22-4 (sigmaaldrich.com)</t>
  </si>
  <si>
    <t>SACAROSE ULTRA PURA FRASCO 5 KG</t>
  </si>
  <si>
    <t>CATMAT -419368-  Sacarose ultrapura (Ultrapure sucrose). (p.m. 342.30, pureza:&gt;=99.9% / para uso em pesquisa). temperatura de estocagem 15 a 30 ºc. frasco com 5 quilos.</t>
  </si>
  <si>
    <t>D-Sucrose, P/ Biologia Molecular 99.9% (Sacarose)- 2,5Kg - Interprise (lojainterprise.com.br)</t>
  </si>
  <si>
    <t>D(+)-Sacarose ≥99.9% (by HPLC), ultra puro Bioreagent for density gradient ultracentrifugation, para biologia molecular, J.T. Baker® | VWR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</si>
</sst>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[$R$ -416]#,##0.00"/>
    <numFmt numFmtId="165" formatCode="dd/mm/yyyy"/>
    <numFmt numFmtId="166" formatCode="dd/mm/yy"/>
  </numFmts>
  <fonts count="21">
    <font>
      <sz val="10.0"/>
      <color rgb="FF000000"/>
      <name val="Arial"/>
      <scheme val="minor"/>
    </font>
    <font>
      <b/>
      <color theme="1"/>
      <name val="Arial"/>
    </font>
    <font>
      <color theme="1"/>
      <name val="Arial"/>
    </font>
    <font>
      <color theme="1"/>
      <name val="Arial"/>
      <scheme val="minor"/>
    </font>
    <font>
      <b/>
      <color theme="1"/>
      <name val="Arial"/>
      <scheme val="minor"/>
    </font>
    <font>
      <u/>
      <color rgb="FF0000FF"/>
    </font>
    <font>
      <u/>
      <color rgb="FF1155CC"/>
    </font>
    <font>
      <u/>
      <color rgb="FF1155CC"/>
    </font>
    <font>
      <color rgb="FF000000"/>
      <name val="Arial"/>
    </font>
    <font>
      <u/>
      <color rgb="FF1155CC"/>
    </font>
    <font>
      <u/>
      <color rgb="FF0000FF"/>
    </font>
    <font>
      <u/>
      <color rgb="FF1155CC"/>
    </font>
    <font>
      <color rgb="FF000000"/>
      <name val="Roboto"/>
    </font>
    <font>
      <sz val="9.0"/>
      <color rgb="FF000000"/>
      <name val="Arial"/>
    </font>
    <font>
      <u/>
      <color rgb="FF0000FF"/>
    </font>
    <font>
      <color theme="1"/>
      <name val="Robotolight"/>
    </font>
    <font>
      <u/>
      <color rgb="FF0000FF"/>
    </font>
    <font>
      <u/>
      <color rgb="FF0000FF"/>
    </font>
    <font>
      <color rgb="FF000000"/>
      <name val="Arial"/>
      <scheme val="minor"/>
    </font>
    <font>
      <u/>
      <color rgb="FF0000FF"/>
    </font>
    <font>
      <u/>
      <color rgb="FF0000FF"/>
    </font>
  </fonts>
  <fills count="6">
    <fill>
      <patternFill patternType="none"/>
    </fill>
    <fill>
      <patternFill patternType="lightGray"/>
    </fill>
    <fill>
      <patternFill patternType="solid">
        <fgColor theme="4"/>
        <bgColor theme="4"/>
      </patternFill>
    </fill>
    <fill>
      <patternFill patternType="solid">
        <fgColor rgb="FF00FF00"/>
        <bgColor rgb="FF00FF00"/>
      </patternFill>
    </fill>
    <fill>
      <patternFill patternType="solid">
        <fgColor rgb="FFFF0000"/>
        <bgColor rgb="FFFF0000"/>
      </patternFill>
    </fill>
    <fill>
      <patternFill patternType="solid">
        <fgColor theme="5"/>
        <bgColor theme="5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4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 shrinkToFit="0" vertical="bottom" wrapText="1"/>
    </xf>
    <xf borderId="1" fillId="0" fontId="2" numFmtId="0" xfId="0" applyAlignment="1" applyBorder="1" applyFont="1">
      <alignment horizontal="center" readingOrder="0" shrinkToFit="0" vertical="bottom" wrapText="1"/>
    </xf>
    <xf borderId="1" fillId="0" fontId="1" numFmtId="0" xfId="0" applyAlignment="1" applyBorder="1" applyFont="1">
      <alignment shrinkToFit="0" vertical="bottom" wrapText="1"/>
    </xf>
    <xf borderId="1" fillId="0" fontId="3" numFmtId="0" xfId="0" applyAlignment="1" applyBorder="1" applyFont="1">
      <alignment horizontal="center" readingOrder="0" shrinkToFit="0" wrapText="1"/>
    </xf>
    <xf borderId="1" fillId="0" fontId="4" numFmtId="0" xfId="0" applyAlignment="1" applyBorder="1" applyFont="1">
      <alignment horizontal="center" readingOrder="0" shrinkToFit="0" wrapText="1"/>
    </xf>
    <xf borderId="1" fillId="0" fontId="2" numFmtId="0" xfId="0" applyAlignment="1" applyBorder="1" applyFont="1">
      <alignment horizontal="center" shrinkToFit="0" vertical="bottom" wrapText="1"/>
    </xf>
    <xf borderId="1" fillId="0" fontId="2" numFmtId="4" xfId="0" applyAlignment="1" applyBorder="1" applyFont="1" applyNumberFormat="1">
      <alignment horizontal="center" readingOrder="0" shrinkToFit="0" vertical="bottom" wrapText="1"/>
    </xf>
    <xf borderId="1" fillId="0" fontId="2" numFmtId="164" xfId="0" applyAlignment="1" applyBorder="1" applyFont="1" applyNumberFormat="1">
      <alignment horizontal="center" readingOrder="0" shrinkToFit="0" vertical="bottom" wrapText="1"/>
    </xf>
    <xf borderId="1" fillId="0" fontId="2" numFmtId="0" xfId="0" applyAlignment="1" applyBorder="1" applyFont="1">
      <alignment horizontal="left" readingOrder="0" shrinkToFit="0" vertical="bottom" wrapText="1"/>
    </xf>
    <xf borderId="1" fillId="2" fontId="2" numFmtId="0" xfId="0" applyAlignment="1" applyBorder="1" applyFill="1" applyFont="1">
      <alignment readingOrder="0" vertical="bottom"/>
    </xf>
    <xf borderId="1" fillId="2" fontId="3" numFmtId="0" xfId="0" applyAlignment="1" applyBorder="1" applyFont="1">
      <alignment horizontal="center" readingOrder="0"/>
    </xf>
    <xf borderId="1" fillId="2" fontId="3" numFmtId="0" xfId="0" applyAlignment="1" applyBorder="1" applyFont="1">
      <alignment horizontal="center" readingOrder="0" shrinkToFit="0" wrapText="1"/>
    </xf>
    <xf borderId="1" fillId="2" fontId="2" numFmtId="0" xfId="0" applyAlignment="1" applyBorder="1" applyFont="1">
      <alignment readingOrder="0" shrinkToFit="0" vertical="bottom" wrapText="1"/>
    </xf>
    <xf borderId="1" fillId="2" fontId="2" numFmtId="0" xfId="0" applyAlignment="1" applyBorder="1" applyFont="1">
      <alignment horizontal="right" vertical="bottom"/>
    </xf>
    <xf borderId="1" fillId="2" fontId="3" numFmtId="0" xfId="0" applyAlignment="1" applyBorder="1" applyFont="1">
      <alignment horizontal="center"/>
    </xf>
    <xf borderId="1" fillId="2" fontId="2" numFmtId="0" xfId="0" applyAlignment="1" applyBorder="1" applyFont="1">
      <alignment horizontal="center" readingOrder="0" vertical="bottom"/>
    </xf>
    <xf borderId="1" fillId="2" fontId="3" numFmtId="4" xfId="0" applyAlignment="1" applyBorder="1" applyFont="1" applyNumberFormat="1">
      <alignment horizontal="center"/>
    </xf>
    <xf borderId="1" fillId="2" fontId="3" numFmtId="164" xfId="0" applyAlignment="1" applyBorder="1" applyFont="1" applyNumberFormat="1">
      <alignment horizontal="center" readingOrder="0"/>
    </xf>
    <xf borderId="1" fillId="2" fontId="5" numFmtId="0" xfId="0" applyAlignment="1" applyBorder="1" applyFont="1">
      <alignment horizontal="left" readingOrder="0"/>
    </xf>
    <xf borderId="1" fillId="2" fontId="3" numFmtId="165" xfId="0" applyAlignment="1" applyBorder="1" applyFont="1" applyNumberFormat="1">
      <alignment horizontal="center" readingOrder="0"/>
    </xf>
    <xf borderId="1" fillId="2" fontId="2" numFmtId="0" xfId="0" applyAlignment="1" applyBorder="1" applyFont="1">
      <alignment horizontal="center" vertical="bottom"/>
    </xf>
    <xf borderId="1" fillId="2" fontId="6" numFmtId="0" xfId="0" applyAlignment="1" applyBorder="1" applyFont="1">
      <alignment horizontal="left" readingOrder="0"/>
    </xf>
    <xf borderId="1" fillId="2" fontId="3" numFmtId="164" xfId="0" applyAlignment="1" applyBorder="1" applyFont="1" applyNumberFormat="1">
      <alignment horizontal="center"/>
    </xf>
    <xf borderId="1" fillId="2" fontId="3" numFmtId="0" xfId="0" applyAlignment="1" applyBorder="1" applyFont="1">
      <alignment horizontal="left"/>
    </xf>
    <xf borderId="1" fillId="2" fontId="3" numFmtId="0" xfId="0" applyBorder="1" applyFont="1"/>
    <xf borderId="1" fillId="2" fontId="7" numFmtId="164" xfId="0" applyAlignment="1" applyBorder="1" applyFont="1" applyNumberFormat="1">
      <alignment horizontal="center" readingOrder="0"/>
    </xf>
    <xf borderId="1" fillId="2" fontId="2" numFmtId="0" xfId="0" applyAlignment="1" applyBorder="1" applyFont="1">
      <alignment horizontal="right" readingOrder="0" vertical="bottom"/>
    </xf>
    <xf borderId="1" fillId="2" fontId="8" numFmtId="0" xfId="0" applyAlignment="1" applyBorder="1" applyFont="1">
      <alignment horizontal="left" readingOrder="0" shrinkToFit="0" wrapText="1"/>
    </xf>
    <xf borderId="1" fillId="2" fontId="3" numFmtId="0" xfId="0" applyAlignment="1" applyBorder="1" applyFont="1">
      <alignment readingOrder="0"/>
    </xf>
    <xf borderId="1" fillId="2" fontId="3" numFmtId="0" xfId="0" applyAlignment="1" applyBorder="1" applyFont="1">
      <alignment horizontal="left" readingOrder="0"/>
    </xf>
    <xf borderId="1" fillId="2" fontId="9" numFmtId="164" xfId="0" applyAlignment="1" applyBorder="1" applyFont="1" applyNumberFormat="1">
      <alignment horizontal="left" readingOrder="0"/>
    </xf>
    <xf borderId="1" fillId="2" fontId="10" numFmtId="0" xfId="0" applyAlignment="1" applyBorder="1" applyFont="1">
      <alignment readingOrder="0"/>
    </xf>
    <xf borderId="1" fillId="2" fontId="11" numFmtId="0" xfId="0" applyAlignment="1" applyBorder="1" applyFont="1">
      <alignment readingOrder="0"/>
    </xf>
    <xf borderId="1" fillId="2" fontId="3" numFmtId="166" xfId="0" applyAlignment="1" applyBorder="1" applyFont="1" applyNumberFormat="1">
      <alignment horizontal="center" readingOrder="0"/>
    </xf>
    <xf borderId="1" fillId="3" fontId="2" numFmtId="0" xfId="0" applyAlignment="1" applyBorder="1" applyFill="1" applyFont="1">
      <alignment readingOrder="0" vertical="bottom"/>
    </xf>
    <xf borderId="1" fillId="3" fontId="3" numFmtId="0" xfId="0" applyAlignment="1" applyBorder="1" applyFont="1">
      <alignment horizontal="center"/>
    </xf>
    <xf borderId="1" fillId="3" fontId="12" numFmtId="0" xfId="0" applyAlignment="1" applyBorder="1" applyFont="1">
      <alignment horizontal="center" readingOrder="0" shrinkToFit="0" wrapText="1"/>
    </xf>
    <xf borderId="1" fillId="3" fontId="2" numFmtId="0" xfId="0" applyAlignment="1" applyBorder="1" applyFont="1">
      <alignment readingOrder="0" shrinkToFit="0" vertical="bottom" wrapText="1"/>
    </xf>
    <xf borderId="1" fillId="3" fontId="3" numFmtId="0" xfId="0" applyAlignment="1" applyBorder="1" applyFont="1">
      <alignment horizontal="center" readingOrder="0"/>
    </xf>
    <xf borderId="1" fillId="3" fontId="2" numFmtId="0" xfId="0" applyAlignment="1" applyBorder="1" applyFont="1">
      <alignment horizontal="right" vertical="bottom"/>
    </xf>
    <xf borderId="1" fillId="3" fontId="2" numFmtId="0" xfId="0" applyAlignment="1" applyBorder="1" applyFont="1">
      <alignment horizontal="center" vertical="bottom"/>
    </xf>
    <xf borderId="1" fillId="3" fontId="3" numFmtId="4" xfId="0" applyAlignment="1" applyBorder="1" applyFont="1" applyNumberFormat="1">
      <alignment horizontal="center"/>
    </xf>
    <xf borderId="1" fillId="3" fontId="3" numFmtId="164" xfId="0" applyAlignment="1" applyBorder="1" applyFont="1" applyNumberFormat="1">
      <alignment horizontal="center"/>
    </xf>
    <xf borderId="1" fillId="3" fontId="3" numFmtId="0" xfId="0" applyAlignment="1" applyBorder="1" applyFont="1">
      <alignment horizontal="left"/>
    </xf>
    <xf borderId="1" fillId="2" fontId="2" numFmtId="0" xfId="0" applyAlignment="1" applyBorder="1" applyFont="1">
      <alignment shrinkToFit="0" vertical="bottom" wrapText="1"/>
    </xf>
    <xf borderId="1" fillId="2" fontId="13" numFmtId="0" xfId="0" applyAlignment="1" applyBorder="1" applyFont="1">
      <alignment horizontal="left" readingOrder="0" shrinkToFit="0" wrapText="1"/>
    </xf>
    <xf borderId="1" fillId="2" fontId="12" numFmtId="0" xfId="0" applyAlignment="1" applyBorder="1" applyFont="1">
      <alignment horizontal="center" readingOrder="0" shrinkToFit="0" wrapText="1"/>
    </xf>
    <xf borderId="1" fillId="2" fontId="14" numFmtId="0" xfId="0" applyAlignment="1" applyBorder="1" applyFont="1">
      <alignment horizontal="center" readingOrder="0"/>
    </xf>
    <xf borderId="1" fillId="2" fontId="8" numFmtId="0" xfId="0" applyAlignment="1" applyBorder="1" applyFont="1">
      <alignment horizontal="center" readingOrder="0" shrinkToFit="0" wrapText="1"/>
    </xf>
    <xf borderId="1" fillId="2" fontId="15" numFmtId="0" xfId="0" applyAlignment="1" applyBorder="1" applyFont="1">
      <alignment readingOrder="0"/>
    </xf>
    <xf borderId="1" fillId="2" fontId="16" numFmtId="0" xfId="0" applyAlignment="1" applyBorder="1" applyFont="1">
      <alignment horizontal="left" readingOrder="0"/>
    </xf>
    <xf borderId="1" fillId="2" fontId="8" numFmtId="0" xfId="0" applyAlignment="1" applyBorder="1" applyFont="1">
      <alignment horizontal="center" readingOrder="0"/>
    </xf>
    <xf borderId="1" fillId="4" fontId="2" numFmtId="0" xfId="0" applyAlignment="1" applyBorder="1" applyFill="1" applyFont="1">
      <alignment readingOrder="0" vertical="bottom"/>
    </xf>
    <xf borderId="1" fillId="4" fontId="3" numFmtId="0" xfId="0" applyAlignment="1" applyBorder="1" applyFont="1">
      <alignment horizontal="center"/>
    </xf>
    <xf borderId="1" fillId="4" fontId="3" numFmtId="0" xfId="0" applyAlignment="1" applyBorder="1" applyFont="1">
      <alignment horizontal="center" readingOrder="0" shrinkToFit="0" wrapText="1"/>
    </xf>
    <xf borderId="1" fillId="4" fontId="2" numFmtId="0" xfId="0" applyAlignment="1" applyBorder="1" applyFont="1">
      <alignment readingOrder="0" shrinkToFit="0" vertical="bottom" wrapText="1"/>
    </xf>
    <xf borderId="1" fillId="4" fontId="3" numFmtId="0" xfId="0" applyAlignment="1" applyBorder="1" applyFont="1">
      <alignment horizontal="center" readingOrder="0"/>
    </xf>
    <xf borderId="1" fillId="4" fontId="2" numFmtId="0" xfId="0" applyAlignment="1" applyBorder="1" applyFont="1">
      <alignment horizontal="right" vertical="bottom"/>
    </xf>
    <xf borderId="1" fillId="4" fontId="2" numFmtId="0" xfId="0" applyAlignment="1" applyBorder="1" applyFont="1">
      <alignment horizontal="center" vertical="bottom"/>
    </xf>
    <xf borderId="1" fillId="4" fontId="3" numFmtId="4" xfId="0" applyAlignment="1" applyBorder="1" applyFont="1" applyNumberFormat="1">
      <alignment horizontal="center"/>
    </xf>
    <xf borderId="1" fillId="4" fontId="3" numFmtId="164" xfId="0" applyAlignment="1" applyBorder="1" applyFont="1" applyNumberFormat="1">
      <alignment readingOrder="0"/>
    </xf>
    <xf borderId="1" fillId="4" fontId="17" numFmtId="0" xfId="0" applyAlignment="1" applyBorder="1" applyFont="1">
      <alignment horizontal="left" readingOrder="0"/>
    </xf>
    <xf borderId="1" fillId="4" fontId="3" numFmtId="166" xfId="0" applyAlignment="1" applyBorder="1" applyFont="1" applyNumberFormat="1">
      <alignment horizontal="center" readingOrder="0"/>
    </xf>
    <xf borderId="1" fillId="4" fontId="3" numFmtId="164" xfId="0" applyAlignment="1" applyBorder="1" applyFont="1" applyNumberFormat="1">
      <alignment horizontal="center" readingOrder="0"/>
    </xf>
    <xf borderId="1" fillId="4" fontId="3" numFmtId="164" xfId="0" applyAlignment="1" applyBorder="1" applyFont="1" applyNumberFormat="1">
      <alignment horizontal="center"/>
    </xf>
    <xf borderId="1" fillId="4" fontId="3" numFmtId="0" xfId="0" applyAlignment="1" applyBorder="1" applyFont="1">
      <alignment horizontal="left"/>
    </xf>
    <xf borderId="1" fillId="2" fontId="3" numFmtId="0" xfId="0" applyAlignment="1" applyBorder="1" applyFont="1">
      <alignment readingOrder="0" shrinkToFit="0" wrapText="1"/>
    </xf>
    <xf borderId="1" fillId="2" fontId="18" numFmtId="0" xfId="0" applyAlignment="1" applyBorder="1" applyFont="1">
      <alignment horizontal="left" readingOrder="0"/>
    </xf>
    <xf borderId="1" fillId="2" fontId="3" numFmtId="0" xfId="0" applyAlignment="1" applyBorder="1" applyFont="1">
      <alignment readingOrder="0"/>
    </xf>
    <xf borderId="1" fillId="2" fontId="1" numFmtId="0" xfId="0" applyAlignment="1" applyBorder="1" applyFont="1">
      <alignment horizontal="center" readingOrder="0" shrinkToFit="0" vertical="bottom" wrapText="0"/>
    </xf>
    <xf borderId="1" fillId="2" fontId="3" numFmtId="0" xfId="0" applyAlignment="1" applyBorder="1" applyFont="1">
      <alignment horizontal="center" readingOrder="0" shrinkToFit="0" wrapText="0"/>
    </xf>
    <xf borderId="1" fillId="2" fontId="1" numFmtId="0" xfId="0" applyAlignment="1" applyBorder="1" applyFont="1">
      <alignment horizontal="left" readingOrder="0" shrinkToFit="0" vertical="center" wrapText="1"/>
    </xf>
    <xf borderId="1" fillId="2" fontId="1" numFmtId="0" xfId="0" applyAlignment="1" applyBorder="1" applyFont="1">
      <alignment horizontal="center" shrinkToFit="0" vertical="bottom" wrapText="0"/>
    </xf>
    <xf borderId="1" fillId="2" fontId="3" numFmtId="0" xfId="0" applyAlignment="1" applyBorder="1" applyFont="1">
      <alignment horizontal="center" shrinkToFit="0" wrapText="0"/>
    </xf>
    <xf borderId="1" fillId="2" fontId="3" numFmtId="4" xfId="0" applyAlignment="1" applyBorder="1" applyFont="1" applyNumberFormat="1">
      <alignment horizontal="center" shrinkToFit="0" wrapText="0"/>
    </xf>
    <xf borderId="1" fillId="2" fontId="3" numFmtId="164" xfId="0" applyAlignment="1" applyBorder="1" applyFont="1" applyNumberFormat="1">
      <alignment horizontal="center" readingOrder="0" shrinkToFit="0" wrapText="0"/>
    </xf>
    <xf borderId="1" fillId="2" fontId="19" numFmtId="0" xfId="0" applyAlignment="1" applyBorder="1" applyFont="1">
      <alignment readingOrder="0" shrinkToFit="0" wrapText="0"/>
    </xf>
    <xf borderId="1" fillId="2" fontId="3" numFmtId="165" xfId="0" applyAlignment="1" applyBorder="1" applyFont="1" applyNumberFormat="1">
      <alignment horizontal="center" readingOrder="0" shrinkToFit="0" wrapText="0"/>
    </xf>
    <xf borderId="1" fillId="2" fontId="18" numFmtId="0" xfId="0" applyAlignment="1" applyBorder="1" applyFont="1">
      <alignment horizontal="center" readingOrder="0" shrinkToFit="0" wrapText="1"/>
    </xf>
    <xf borderId="1" fillId="4" fontId="2" numFmtId="0" xfId="0" applyAlignment="1" applyBorder="1" applyFont="1">
      <alignment vertical="bottom"/>
    </xf>
    <xf borderId="1" fillId="4" fontId="20" numFmtId="0" xfId="0" applyAlignment="1" applyBorder="1" applyFont="1">
      <alignment readingOrder="0"/>
    </xf>
    <xf borderId="1" fillId="4" fontId="3" numFmtId="165" xfId="0" applyAlignment="1" applyBorder="1" applyFont="1" applyNumberFormat="1">
      <alignment horizontal="center" readingOrder="0"/>
    </xf>
    <xf borderId="1" fillId="4" fontId="3" numFmtId="0" xfId="0" applyBorder="1" applyFont="1"/>
    <xf borderId="1" fillId="5" fontId="2" numFmtId="0" xfId="0" applyAlignment="1" applyBorder="1" applyFill="1" applyFont="1">
      <alignment vertical="bottom"/>
    </xf>
    <xf borderId="1" fillId="5" fontId="3" numFmtId="0" xfId="0" applyAlignment="1" applyBorder="1" applyFont="1">
      <alignment horizontal="center"/>
    </xf>
    <xf borderId="1" fillId="5" fontId="3" numFmtId="0" xfId="0" applyAlignment="1" applyBorder="1" applyFont="1">
      <alignment horizontal="center" readingOrder="0" shrinkToFit="0" wrapText="1"/>
    </xf>
    <xf borderId="1" fillId="5" fontId="2" numFmtId="0" xfId="0" applyAlignment="1" applyBorder="1" applyFont="1">
      <alignment shrinkToFit="0" vertical="bottom" wrapText="1"/>
    </xf>
    <xf borderId="1" fillId="5" fontId="2" numFmtId="0" xfId="0" applyAlignment="1" applyBorder="1" applyFont="1">
      <alignment horizontal="right" vertical="bottom"/>
    </xf>
    <xf borderId="1" fillId="5" fontId="2" numFmtId="0" xfId="0" applyAlignment="1" applyBorder="1" applyFont="1">
      <alignment horizontal="center" vertical="bottom"/>
    </xf>
    <xf borderId="1" fillId="0" fontId="3" numFmtId="0" xfId="0" applyAlignment="1" applyBorder="1" applyFont="1">
      <alignment horizontal="center"/>
    </xf>
    <xf borderId="1" fillId="0" fontId="3" numFmtId="4" xfId="0" applyAlignment="1" applyBorder="1" applyFont="1" applyNumberFormat="1">
      <alignment horizontal="center"/>
    </xf>
    <xf borderId="1" fillId="5" fontId="3" numFmtId="0" xfId="0" applyAlignment="1" applyBorder="1" applyFont="1">
      <alignment horizontal="center" readingOrder="0"/>
    </xf>
    <xf borderId="1" fillId="5" fontId="3" numFmtId="164" xfId="0" applyAlignment="1" applyBorder="1" applyFont="1" applyNumberFormat="1">
      <alignment horizontal="center"/>
    </xf>
    <xf borderId="1" fillId="5" fontId="3" numFmtId="0" xfId="0" applyAlignment="1" applyBorder="1" applyFont="1">
      <alignment horizontal="left"/>
    </xf>
    <xf borderId="1" fillId="5" fontId="2" numFmtId="0" xfId="0" applyAlignment="1" applyBorder="1" applyFont="1">
      <alignment readingOrder="0" shrinkToFit="0" vertical="bottom" wrapText="1"/>
    </xf>
    <xf borderId="1" fillId="4" fontId="12" numFmtId="0" xfId="0" applyAlignment="1" applyBorder="1" applyFont="1">
      <alignment horizontal="center" readingOrder="0" shrinkToFit="0" wrapText="1"/>
    </xf>
    <xf borderId="1" fillId="4" fontId="2" numFmtId="0" xfId="0" applyAlignment="1" applyBorder="1" applyFont="1">
      <alignment shrinkToFit="0" vertical="bottom" wrapText="1"/>
    </xf>
    <xf borderId="0" fillId="0" fontId="3" numFmtId="0" xfId="0" applyAlignment="1" applyFont="1">
      <alignment horizontal="center"/>
    </xf>
    <xf borderId="0" fillId="0" fontId="3" numFmtId="0" xfId="0" applyAlignment="1" applyFont="1">
      <alignment horizontal="center" shrinkToFit="0" wrapText="1"/>
    </xf>
    <xf borderId="0" fillId="0" fontId="3" numFmtId="0" xfId="0" applyAlignment="1" applyFont="1">
      <alignment shrinkToFit="0" wrapText="1"/>
    </xf>
    <xf borderId="0" fillId="0" fontId="3" numFmtId="4" xfId="0" applyAlignment="1" applyFont="1" applyNumberFormat="1">
      <alignment horizontal="center"/>
    </xf>
    <xf borderId="0" fillId="0" fontId="3" numFmtId="164" xfId="0" applyAlignment="1" applyFont="1" applyNumberFormat="1">
      <alignment horizontal="center"/>
    </xf>
    <xf borderId="0" fillId="0" fontId="3" numFmtId="0" xfId="0" applyAlignment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90" Type="http://schemas.openxmlformats.org/officeDocument/2006/relationships/hyperlink" Target="https://myhexis.com.br/index.php?option=com_movimentacao&amp;op=PROD&amp;task=detalhar&amp;produto_id=HX0178-00011" TargetMode="External"/><Relationship Id="rId194" Type="http://schemas.openxmlformats.org/officeDocument/2006/relationships/hyperlink" Target="https://www.sigmaaldrich.com/BR/pt/product/aldrich/156914" TargetMode="External"/><Relationship Id="rId193" Type="http://schemas.openxmlformats.org/officeDocument/2006/relationships/hyperlink" Target="https://www.acsreagentes.com.br/dimetilformamida-n-n-pa-acs-5l-acs-cientifica" TargetMode="External"/><Relationship Id="rId192" Type="http://schemas.openxmlformats.org/officeDocument/2006/relationships/hyperlink" Target="https://www.glasslab.com.br/reagentes-e-meios/dimetilformamida-n-n-pa-acs-1l?parceiro=6858" TargetMode="External"/><Relationship Id="rId191" Type="http://schemas.openxmlformats.org/officeDocument/2006/relationships/hyperlink" Target="https://www.glasslab.com.br/reagentes-e-meios/dicromato-de-potassio-pa-1kg?parceiro=6858&amp;gclid=Cj0KCQiAu62QBhC7ARIsALXijXSn_XWCwPjwN5CzuYgkVAQUZ3fHWjePLI20ULUJOU0YCgiwDaW1KwcaAqq4EALw_wcB" TargetMode="External"/><Relationship Id="rId187" Type="http://schemas.openxmlformats.org/officeDocument/2006/relationships/hyperlink" Target="https://www.glasslab.com.br/reagentes-e-meios/diclorometano-hplc-1l?parceiro=6858" TargetMode="External"/><Relationship Id="rId186" Type="http://schemas.openxmlformats.org/officeDocument/2006/relationships/hyperlink" Target="https://www.sigmaaldrich.com/BR/pt/product/sigald/650463" TargetMode="External"/><Relationship Id="rId185" Type="http://schemas.openxmlformats.org/officeDocument/2006/relationships/hyperlink" Target="https://www.google.com/search?q=CROMATO+DE+POT%C3%81SSIO+ANIDRO+P.A.&amp;tbm=shop&amp;ved=2ahUKEwjlgMf3roL2AhW5MrkGHWsmA8kQu-kFegQIABAB&amp;oq=CROMATO+DE+POT%C3%81SSIO+ANIDRO+P.A.&amp;gs_lcp=Cgtwcm9kdWN0cy1jYxADMgUIABCiBDoECCMQJzoGCAAQHhAYUP0IWP0IYJoNaABwAHgAgAG8AYgB5AKSAQMwLjKYAQCgAQHAAQE&amp;sclient=products-cc&amp;ei=ufQLYqXAF7nl5OUP68yMyAw&amp;bih=520&amp;biw=1280" TargetMode="External"/><Relationship Id="rId184" Type="http://schemas.openxmlformats.org/officeDocument/2006/relationships/hyperlink" Target="https://www.didaticasp.com.br/azul-de-coomassie-brilhante-g250-25g" TargetMode="External"/><Relationship Id="rId189" Type="http://schemas.openxmlformats.org/officeDocument/2006/relationships/hyperlink" Target="https://www.didaticasp.com.br/diclorometano-pa-1l-pfssp" TargetMode="External"/><Relationship Id="rId188" Type="http://schemas.openxmlformats.org/officeDocument/2006/relationships/hyperlink" Target="https://www.glasslab.com.br/reagentes-e-meios/diclorometano-pa-acs-99-5-1l?parceiro=6858" TargetMode="External"/><Relationship Id="rId183" Type="http://schemas.openxmlformats.org/officeDocument/2006/relationships/hyperlink" Target="https://www.orionprodutoscientificos.com.br/azul-de-coomassie-brilhante-r-250-ci-42660-25g-acs-cientifica?utm_source=Site&amp;utm_medium=GoogleMerchant&amp;utm_campaign=GoogleMerchant" TargetMode="External"/><Relationship Id="rId182" Type="http://schemas.openxmlformats.org/officeDocument/2006/relationships/hyperlink" Target="https://www.glasslab.com.br/reagentes-e-meios/azul-de-coomassie-brilhante-g250-25g?parceiro=6858" TargetMode="External"/><Relationship Id="rId181" Type="http://schemas.openxmlformats.org/officeDocument/2006/relationships/hyperlink" Target="https://www.rmdistribuidorasc.com.br/MLB-2048972359-kit-corante-gram-4x500ml-_JM" TargetMode="External"/><Relationship Id="rId180" Type="http://schemas.openxmlformats.org/officeDocument/2006/relationships/hyperlink" Target="https://www.mmcomercio.net.br/produto/gram-conjunto-pcoloracao-4x500ml-laborclin.html?utm_source=Site&amp;utm_medium=GoogleMerchant&amp;utm_campaign=GoogleMerchant" TargetMode="External"/><Relationship Id="rId176" Type="http://schemas.openxmlformats.org/officeDocument/2006/relationships/hyperlink" Target="https://www.glasslab.com.br/reagentes-e-meios/cloroformio-pa-acs-1l" TargetMode="External"/><Relationship Id="rId297" Type="http://schemas.openxmlformats.org/officeDocument/2006/relationships/hyperlink" Target="https://www.glasslab.com.br/reagentes-e-meios/oxido-de-aluminio-alumina-pa-500g?parceiro=6858" TargetMode="External"/><Relationship Id="rId175" Type="http://schemas.openxmlformats.org/officeDocument/2006/relationships/hyperlink" Target="https://myhexis.com.br/index.php?option=com_movimentacao&amp;op=PROD&amp;task=detalhar&amp;produto_id=HX0178-00010" TargetMode="External"/><Relationship Id="rId296" Type="http://schemas.openxmlformats.org/officeDocument/2006/relationships/hyperlink" Target="https://www.didaticasp.com.br/oxido-de-aluminio-pa-500g" TargetMode="External"/><Relationship Id="rId174" Type="http://schemas.openxmlformats.org/officeDocument/2006/relationships/hyperlink" Target="https://www.didaticasp.com.br/cloroformio-pa-1l-pfssp" TargetMode="External"/><Relationship Id="rId295" Type="http://schemas.openxmlformats.org/officeDocument/2006/relationships/hyperlink" Target="https://www.glasslab.com.br/reagentes-e-meios/oxalato-de-sodio-pa-acs-500g?parceiro=6858" TargetMode="External"/><Relationship Id="rId173" Type="http://schemas.openxmlformats.org/officeDocument/2006/relationships/hyperlink" Target="https://www.orionprodutoscientificos.com.br/cloreto-de-sodio-pa-acs-1kg-exodo-cientifica" TargetMode="External"/><Relationship Id="rId294" Type="http://schemas.openxmlformats.org/officeDocument/2006/relationships/hyperlink" Target="https://www.orionprodutoscientificos.com.br/oxalato-de-sodio-pa-acs-500g-exodo-cientifica?utm_source=Site&amp;utm_medium=GoogleMerchant&amp;utm_campaign=GoogleMerchant" TargetMode="External"/><Relationship Id="rId179" Type="http://schemas.openxmlformats.org/officeDocument/2006/relationships/hyperlink" Target="https://jglab.com.br/produto/conjunto-para-coloracao-de-gram-4x500ml/?gclid=Cj0KCQiAu62QBhC7ARIsALXijXT8xSkha-u050WiqitTBfTysygd-SlWxS5SOvzCKuoZcw83IPfREj0aArIrEALw_wcB" TargetMode="External"/><Relationship Id="rId178" Type="http://schemas.openxmlformats.org/officeDocument/2006/relationships/hyperlink" Target="https://www.mmcomercio.net.br/produto/coloracao-panotico-rapido-conjunto-3x500ml-laborclin.html?utm_source=Site&amp;utm_medium=GoogleMerchant&amp;utm_campaign=GoogleMerchant" TargetMode="External"/><Relationship Id="rId299" Type="http://schemas.openxmlformats.org/officeDocument/2006/relationships/hyperlink" Target="https://www.acsreagentes.com.br/oxido-de-calcio-pa-500g-acs-cientifica" TargetMode="External"/><Relationship Id="rId177" Type="http://schemas.openxmlformats.org/officeDocument/2006/relationships/hyperlink" Target="https://www.rmdistribuidorasc.com.br/MLB-1902207822-kit-panotico-rapido-3-x-500-ml-_JM" TargetMode="External"/><Relationship Id="rId298" Type="http://schemas.openxmlformats.org/officeDocument/2006/relationships/hyperlink" Target="https://www.glasslab.com.br/reagentes-e-meios/oxido-de-aluminio-alumina-pa-500g?parceiro=6858" TargetMode="External"/><Relationship Id="rId198" Type="http://schemas.openxmlformats.org/officeDocument/2006/relationships/hyperlink" Target="https://www.orionprodutoscientificos.com.br/edta-sal-dissodico-2h2o-pa-500g-exodo-cientifica?utm_source=Site&amp;utm_medium=GoogleMerchant&amp;utm_campaign=GoogleMerchant" TargetMode="External"/><Relationship Id="rId197" Type="http://schemas.openxmlformats.org/officeDocument/2006/relationships/hyperlink" Target="https://www.glasslab.com.br/reagentes-e-meios/edta-sal-dissodico-2h2o-pa-acs-1kg?parceiro=6858&amp;gclid=Cj0KCQiAu62QBhC7ARIsALXijXQaaK-gLcCGvplsGNNtMw0jE9g6B54M5WhdzkkgddJ51VAhRo8e4KUaAlHkEALw_wcB" TargetMode="External"/><Relationship Id="rId196" Type="http://schemas.openxmlformats.org/officeDocument/2006/relationships/hyperlink" Target="https://www.didaticasp.com.br/edta-sal-de-magnesio-e-potassio-100g" TargetMode="External"/><Relationship Id="rId195" Type="http://schemas.openxmlformats.org/officeDocument/2006/relationships/hyperlink" Target="https://www.orionprodutoscientificos.com.br/edta-sal-magnesio-e-dissodico-pa-xh2o-100g-exodo-cientifica" TargetMode="External"/><Relationship Id="rId199" Type="http://schemas.openxmlformats.org/officeDocument/2006/relationships/hyperlink" Target="https://www.didaticasp.com.br/edta-sal-dissodico-2h2o-pa-500g" TargetMode="External"/><Relationship Id="rId150" Type="http://schemas.openxmlformats.org/officeDocument/2006/relationships/hyperlink" Target="https://www.acsreagentes.com.br/carbonato-de-sodio-anidro-pa-acs-500g-acs-cientifica" TargetMode="External"/><Relationship Id="rId271" Type="http://schemas.openxmlformats.org/officeDocument/2006/relationships/hyperlink" Target="https://jglab.com.br/produto/naftaleno-para-sintese-500g/" TargetMode="External"/><Relationship Id="rId392" Type="http://schemas.openxmlformats.org/officeDocument/2006/relationships/hyperlink" Target="https://www.orionprodutoscientificos.com.br/xileno-p-a-acs-1000-ml-fabricante-neon?utm_source=Site&amp;utm_medium=GoogleMerchant&amp;utm_campaign=GoogleMerchant" TargetMode="External"/><Relationship Id="rId270" Type="http://schemas.openxmlformats.org/officeDocument/2006/relationships/hyperlink" Target="https://www.acsreagentes.com.br/molibdato-de-amonio-4h2o-pa-acs-100g-acs-cientifica" TargetMode="External"/><Relationship Id="rId391" Type="http://schemas.openxmlformats.org/officeDocument/2006/relationships/hyperlink" Target="https://www.glasslab.com.br/reagentes-e-meios/xilol-xileno-pa-acs-1l?parceiro=6858" TargetMode="External"/><Relationship Id="rId390" Type="http://schemas.openxmlformats.org/officeDocument/2006/relationships/hyperlink" Target="https://jglab.com.br/produto/xileno-xilol-pa-acs-1l/?gclid=Cj0KCQiAmKiQBhClARIsAKtSj-lXIT30qkAJEZpZnM0WI05VTrx6aIrUcO_vpWld9eqUaBKFt69crAsaAoIUEALw_wcB" TargetMode="External"/><Relationship Id="rId1" Type="http://schemas.openxmlformats.org/officeDocument/2006/relationships/hyperlink" Target="https://www.acsreagentes.com.br/acetato-de-calcio-h2o-monohidratado-pa-500g-acs-cientifica?utm_source=Site&amp;utm_medium=GoogleMerchant&amp;utm_campaign=GoogleMerchant" TargetMode="External"/><Relationship Id="rId2" Type="http://schemas.openxmlformats.org/officeDocument/2006/relationships/hyperlink" Target="https://www.glasslab.com.br/reagentes-e-meios/acetato-de-calcio-h2o-pa-1kg?parceiro=6858&amp;gclid=Cj0KCQiAr5iQBhCsARIsAPcwROMRdfMnOoPq8m1Z9xr3xPmOPjhC0e1kK-NLjM0_N80IPXZ0eQgEHgQaAiT6EALw_wcB" TargetMode="External"/><Relationship Id="rId3" Type="http://schemas.openxmlformats.org/officeDocument/2006/relationships/hyperlink" Target="https://www.orionprodutoscientificos.com.br/acetato-de-calcio-h2o-pa-500g-exodo-cientifica?utm_source=Site&amp;utm_medium=GoogleMerchant&amp;utm_campaign=GoogleMerchant" TargetMode="External"/><Relationship Id="rId149" Type="http://schemas.openxmlformats.org/officeDocument/2006/relationships/hyperlink" Target="https://www.orionprodutoscientificos.com.br/carbonato-de-sodio-anidro-pa-acs-500g-exodo-cientifica?utm_source=Site&amp;utm_medium=GoogleMerchant&amp;utm_campaign=GoogleMerchant" TargetMode="External"/><Relationship Id="rId4" Type="http://schemas.openxmlformats.org/officeDocument/2006/relationships/hyperlink" Target="https://www.acsreagentes.com.br/acetoacetato-de-etila-99-pa-1l-acs-cientifica?utm_source=Site&amp;utm_medium=GoogleMerchant&amp;utm_campaign=GoogleMerchant" TargetMode="External"/><Relationship Id="rId148" Type="http://schemas.openxmlformats.org/officeDocument/2006/relationships/hyperlink" Target="https://jglab.com.br/produto/carbonato-de-sodio-anidro-pa-acs-500g/?gclid=Cj0KCQiAu62QBhC7ARIsALXijXRhImsUxmQSULbMsHnYg6gE7lMA-z2Y0NM3CPRVT6wiiPCPQystU6waAlvMEALw_wcB" TargetMode="External"/><Relationship Id="rId269" Type="http://schemas.openxmlformats.org/officeDocument/2006/relationships/hyperlink" Target="https://www.orionprodutoscientificos.com.br/molibdato-de-amonio-4h2o-pa-acs-100g-exodo-cientifica?utm_source=Site&amp;utm_medium=GoogleMerchant&amp;utm_campaign=GoogleMerchant" TargetMode="External"/><Relationship Id="rId9" Type="http://schemas.openxmlformats.org/officeDocument/2006/relationships/hyperlink" Target="https://www.glasslab.com.br/reagentes-e-meios/acetonitrila-hplc-4l?parceiro=6858" TargetMode="External"/><Relationship Id="rId143" Type="http://schemas.openxmlformats.org/officeDocument/2006/relationships/hyperlink" Target="https://www.americanas.com.br/produto/3565912461?epar=bp_pl_00_go_ab_todas_geral_gmv&amp;opn=YSMESP&amp;WT.srch=1&amp;gclid=Cj0KCQiA3rKQBhCNARIsACUEW_au4MhQXxRDPYqaoOPSUXgCpjZqWrCMNZ2-b-MR-WUbXEKWESKBBoIaAtqKEALw_wcB&amp;embalagem=Frasco%20com%20500%20gramas" TargetMode="External"/><Relationship Id="rId264" Type="http://schemas.openxmlformats.org/officeDocument/2006/relationships/hyperlink" Target="https://www.glasslab.com.br/reagentes-e-meios/lauril-dodecil-sulf-de-sodio-pa-500g?parceiro=6858" TargetMode="External"/><Relationship Id="rId385" Type="http://schemas.openxmlformats.org/officeDocument/2006/relationships/hyperlink" Target="https://www.acsreagentes.com.br/alizarina-ci-58000-pa-25g-acs-cientifica" TargetMode="External"/><Relationship Id="rId142" Type="http://schemas.openxmlformats.org/officeDocument/2006/relationships/hyperlink" Target="https://jglab.com.br/produto/caldo-nutriente-500g/?gclid=Cj0KCQiA3rKQBhCNARIsACUEW_ZOV0pGeCAHetCw0quza-wzUAij50Nc5bmAGMt4tXPStMYw_zc8C0UaAs9gEALw_wcB" TargetMode="External"/><Relationship Id="rId263" Type="http://schemas.openxmlformats.org/officeDocument/2006/relationships/hyperlink" Target="https://www.acsreagentes.com.br/lauril-sulfato-de-sodio-pa-dodecilsulfato-500g-acs-cientifica" TargetMode="External"/><Relationship Id="rId384" Type="http://schemas.openxmlformats.org/officeDocument/2006/relationships/hyperlink" Target="https://www.lojasynth.com/reagentes-analiticosmaterias-primas/reagentes-analiticosmaterias-primas/alizarina-ci-58000-p-a?parceiro=2827" TargetMode="External"/><Relationship Id="rId141" Type="http://schemas.openxmlformats.org/officeDocument/2006/relationships/hyperlink" Target="https://www.vitchlab.com.br/laboratorial/meio-de-cultivo/agar-infusao-cerebro-coracao-bhi-frasco-500-g-k25-1048?parceiro=7632" TargetMode="External"/><Relationship Id="rId262" Type="http://schemas.openxmlformats.org/officeDocument/2006/relationships/hyperlink" Target="https://www.orionprodutoscientificos.com.br/lauril-sulfato-de-sodio-pa-dodecilsulfato-500g-exodo-cientifica?utm_source=Site&amp;utm_medium=GoogleMerchant&amp;utm_campaign=GoogleMerchant" TargetMode="External"/><Relationship Id="rId383" Type="http://schemas.openxmlformats.org/officeDocument/2006/relationships/hyperlink" Target="https://www.didaticasp.com.br/verde-de-bromocresol-25g" TargetMode="External"/><Relationship Id="rId140" Type="http://schemas.openxmlformats.org/officeDocument/2006/relationships/hyperlink" Target="https://www.glasslab.com.br/reagentes-e-meios/agar-infusao-cerebro-e-coracao-bhi-frasco-500g-k25-610007-kasvi?parceiro=6858" TargetMode="External"/><Relationship Id="rId261" Type="http://schemas.openxmlformats.org/officeDocument/2006/relationships/hyperlink" Target="https://www.acsreagentes.com.br/iodeto-de-potassio-pa-acs-100g-acs-cientifica?utm_source=Site&amp;utm_medium=GoogleMerchant&amp;utm_campaign=GoogleMerchant" TargetMode="External"/><Relationship Id="rId382" Type="http://schemas.openxmlformats.org/officeDocument/2006/relationships/hyperlink" Target="https://www.orionprodutoscientificos.com.br/verde-de-bromocresol-p-a-acs-25-g-fabricante-neon?utm_source=Site&amp;utm_medium=GoogleMerchant&amp;utm_campaign=GoogleMerchant" TargetMode="External"/><Relationship Id="rId5" Type="http://schemas.openxmlformats.org/officeDocument/2006/relationships/hyperlink" Target="https://www.orionprodutoscientificos.com.br/acetoacetato-de-etila-99-pa-1l-acs-cientifica?utm_source=Site&amp;utm_medium=GoogleMerchant&amp;utm_campaign=GoogleMerchant" TargetMode="External"/><Relationship Id="rId147" Type="http://schemas.openxmlformats.org/officeDocument/2006/relationships/hyperlink" Target="https://jglab.com.br/produto/meio-tioglicolato-fluido-500g/?gclid=Cj0KCQiA3rKQBhCNARIsACUEW_b9Yq-Xy9lzugmTG2SaNyQQRQYxPxuzCHQ6Xbsb4yxSJ5usZMdj6TAaAiQvEALw_wcB" TargetMode="External"/><Relationship Id="rId268" Type="http://schemas.openxmlformats.org/officeDocument/2006/relationships/hyperlink" Target="https://www.glasslab.com.br/reagentes-e-meios/molibdato-de-amonio-4h2o-pa-acs-100g?parceiro=6858&amp;gclid=Cj0KCQiAu62QBhC7ARIsALXijXRsb7v7juaVWnDK2jlkkHhPttxWCDnWtKbVm9DvSQky-0MBr9vnMT8aAnFHEALw_wcB" TargetMode="External"/><Relationship Id="rId389" Type="http://schemas.openxmlformats.org/officeDocument/2006/relationships/hyperlink" Target="https://www.didaticasp.com.br/vermelho-de-metila-pa-25g" TargetMode="External"/><Relationship Id="rId6" Type="http://schemas.openxmlformats.org/officeDocument/2006/relationships/hyperlink" Target="https://www.glasslab.com.br/reagentes-e-meios/acetona-pa-acs-1l?parceiro=6858&amp;gclid=Cj0KCQiAr5iQBhCsARIsAPcwROO3p8jt3VGXXKGMtoQguNLV36cFZhfbO2BmJ0peLmB64yNXo0ollDwaAtH0EALw_wcB" TargetMode="External"/><Relationship Id="rId146" Type="http://schemas.openxmlformats.org/officeDocument/2006/relationships/hyperlink" Target="https://www.dsyslab.com.br/meios-de-cultura/meios/meio-tioglicolato-fluido-fluido-meio-tioglicolato-frasco-com-500-gramas-mod-m009-500g-himedia" TargetMode="External"/><Relationship Id="rId267" Type="http://schemas.openxmlformats.org/officeDocument/2006/relationships/hyperlink" Target="https://www.orionprodutoscientificos.com.br/lugol-forte-em-solucao-1000-ml-fabricante-neon?utm_source=Site&amp;utm_medium=GoogleMerchant&amp;utm_campaign=GoogleMerchant" TargetMode="External"/><Relationship Id="rId388" Type="http://schemas.openxmlformats.org/officeDocument/2006/relationships/hyperlink" Target="https://www.acsreagentes.com.br/vermelho-de-metila-pa-ci-13020-25g-acs-cientifica?utm_source=Site&amp;utm_medium=GoogleMerchant&amp;utm_campaign=GoogleMerchant" TargetMode="External"/><Relationship Id="rId7" Type="http://schemas.openxmlformats.org/officeDocument/2006/relationships/hyperlink" Target="https://www.lojaprlabor.com.br/produtos/agua-para-hplc-lcms-4l-merck/?pf=gs&amp;gclid=Cj0KCQiA95aRBhCsARIsAC2xvfxuvi7SsVrm1_u0dfZMVvKT00XfcfpMZj0o_ZSHqx9Vn4wL6nyt9jMaAo9OEALw_wcB" TargetMode="External"/><Relationship Id="rId145" Type="http://schemas.openxmlformats.org/officeDocument/2006/relationships/hyperlink" Target="https://www.lojalab.com.br/produto_meio-tioglicolato.--frasco-500-g_1157" TargetMode="External"/><Relationship Id="rId266" Type="http://schemas.openxmlformats.org/officeDocument/2006/relationships/hyperlink" Target="https://www.acsreagentes.com.br/iodo-iodeto-lugol-forte-solucao-5-aquoso-500ml-acs-cientifica?utm_source=Site&amp;utm_medium=GoogleMerchant&amp;utm_campaign=GoogleMerchant" TargetMode="External"/><Relationship Id="rId387" Type="http://schemas.openxmlformats.org/officeDocument/2006/relationships/hyperlink" Target="https://www.glasslab.com.br/reagentes-e-meios/vermelho-de-metila-pa-acs-25g?parceiro=6858" TargetMode="External"/><Relationship Id="rId8" Type="http://schemas.openxmlformats.org/officeDocument/2006/relationships/hyperlink" Target="https://www.orionprodutoscientificos.com.br/acetonitrila-uv-hplc-espectroscopico-plus-4l-exodo-cientifica?utm_source=Site&amp;utm_medium=GoogleMerchant&amp;utm_campaign=GoogleMerchant" TargetMode="External"/><Relationship Id="rId144" Type="http://schemas.openxmlformats.org/officeDocument/2006/relationships/hyperlink" Target="https://www.lojalab.com.br/produto_caldo-nutriente---frasco-500g_1150" TargetMode="External"/><Relationship Id="rId265" Type="http://schemas.openxmlformats.org/officeDocument/2006/relationships/hyperlink" Target="https://www.mmcomercio.net.br/produto/lugol-forte-concentrado-5i-10ki-500ml-laborclin.html?utm_source=Site&amp;utm_medium=GoogleMerchant&amp;utm_campaign=GoogleMerchant" TargetMode="External"/><Relationship Id="rId386" Type="http://schemas.openxmlformats.org/officeDocument/2006/relationships/hyperlink" Target="https://www.glasslab.com.br/reagentes-e-meios/alizarina-ci-58000-pa-25g?parceiro=6858" TargetMode="External"/><Relationship Id="rId260" Type="http://schemas.openxmlformats.org/officeDocument/2006/relationships/hyperlink" Target="https://www.glasslab.com.br/reagentes-e-meios/iodeto-de-potassio-pa-acs-100g?parceiro=6858" TargetMode="External"/><Relationship Id="rId381" Type="http://schemas.openxmlformats.org/officeDocument/2006/relationships/hyperlink" Target="https://www.glasslab.com.br/reagentes-e-meios/verde-bromocresol-pa-25g?parceiro=6858" TargetMode="External"/><Relationship Id="rId380" Type="http://schemas.openxmlformats.org/officeDocument/2006/relationships/hyperlink" Target="https://www.laderquimica.com.br/ureia-pa-1kg-neon?utm_source=Site&amp;utm_medium=GoogleMerchant&amp;utm_campaign=GoogleMerchant" TargetMode="External"/><Relationship Id="rId139" Type="http://schemas.openxmlformats.org/officeDocument/2006/relationships/hyperlink" Target="https://www.lkpdiagnosticos.com.br/meios-de-cultura/7115-agar-cerebro-coracao-brain-heart-infusion-agar-bhi-500g-" TargetMode="External"/><Relationship Id="rId138" Type="http://schemas.openxmlformats.org/officeDocument/2006/relationships/hyperlink" Target="https://www.orionprodutoscientificos.com.br/brometo-de-sodio-p-a-1000-g-fabricante-neon" TargetMode="External"/><Relationship Id="rId259" Type="http://schemas.openxmlformats.org/officeDocument/2006/relationships/hyperlink" Target="https://www.glasslab.com.br/reagentes-e-meios/iodeto-de-potassio-pa-acs-100g?parceiro=6858" TargetMode="External"/><Relationship Id="rId137" Type="http://schemas.openxmlformats.org/officeDocument/2006/relationships/hyperlink" Target="https://jglab.com.br/produto/brometo-de-sodio-pa/?attribute_embalagem=1kg" TargetMode="External"/><Relationship Id="rId258" Type="http://schemas.openxmlformats.org/officeDocument/2006/relationships/hyperlink" Target="https://www.orionprodutoscientificos.com.br/iodato-de-potassio-pa-acs-500g-acs-cientifica?utm_source=Site&amp;utm_medium=GoogleMerchant&amp;utm_campaign=GoogleMerchant" TargetMode="External"/><Relationship Id="rId379" Type="http://schemas.openxmlformats.org/officeDocument/2006/relationships/hyperlink" Target="https://www.orionprodutoscientificos.com.br/ureia-carbamida-pa-acs-500g-acs-cientifica?utm_source=Site&amp;utm_medium=GoogleMerchant&amp;utm_campaign=GoogleMerchant" TargetMode="External"/><Relationship Id="rId132" Type="http://schemas.openxmlformats.org/officeDocument/2006/relationships/hyperlink" Target="https://jglab.com.br/produto/cetremide-ctab/?attribute_embalagem=100g" TargetMode="External"/><Relationship Id="rId253" Type="http://schemas.openxmlformats.org/officeDocument/2006/relationships/hyperlink" Target="https://www.orionprodutoscientificos.com.br/hidroxido-de-sodio-m-perolas-pa-acs-500g-exodo-cientifica?utm_source=Site&amp;utm_medium=GoogleMerchant&amp;utm_campaign=GoogleMerchant" TargetMode="External"/><Relationship Id="rId374" Type="http://schemas.openxmlformats.org/officeDocument/2006/relationships/hyperlink" Target="https://www.didaticasp.com.br/trietilenoglicol-puro-1l" TargetMode="External"/><Relationship Id="rId131" Type="http://schemas.openxmlformats.org/officeDocument/2006/relationships/hyperlink" Target="https://www.orionprodutoscientificos.com.br/brometo-de-cetiltrimetilamonio-ctab-100g-exodo-cientifica?utm_source=Site&amp;utm_medium=GoogleMerchant&amp;utm_campaign=GoogleMerchant" TargetMode="External"/><Relationship Id="rId252" Type="http://schemas.openxmlformats.org/officeDocument/2006/relationships/hyperlink" Target="https://jglab.com.br/produto/hidroxido-de-sodio-microperolas-pa-acs/?attribute_embalagem=500g" TargetMode="External"/><Relationship Id="rId373" Type="http://schemas.openxmlformats.org/officeDocument/2006/relationships/hyperlink" Target="https://jglab.com.br/produto/trietilenoglicol-puro-1l/" TargetMode="External"/><Relationship Id="rId130" Type="http://schemas.openxmlformats.org/officeDocument/2006/relationships/hyperlink" Target="https://www.acsreagentes.com.br/brometo-de-cetiltrimetilamonio-ctab500g-acs-cientifica?utm_source=Site&amp;utm_medium=GoogleMerchant&amp;utm_campaign=GoogleMerchant" TargetMode="External"/><Relationship Id="rId251" Type="http://schemas.openxmlformats.org/officeDocument/2006/relationships/hyperlink" Target="https://www.acsreagentes.com.br/hidroxido-de-sodio-em-escamas-pura-500g-acs-cientifica?utm_source=Site&amp;utm_medium=GoogleMerchant&amp;utm_campaign=GoogleMerchant" TargetMode="External"/><Relationship Id="rId372" Type="http://schemas.openxmlformats.org/officeDocument/2006/relationships/hyperlink" Target="https://www.acsreagentes.com.br/trietilenoglicol-puro-1l-acs-cientifica" TargetMode="External"/><Relationship Id="rId250" Type="http://schemas.openxmlformats.org/officeDocument/2006/relationships/hyperlink" Target="https://jglab.com.br/produto/hidroquinona-pa-500g/" TargetMode="External"/><Relationship Id="rId371" Type="http://schemas.openxmlformats.org/officeDocument/2006/relationships/hyperlink" Target="https://www.glasslab.com.br/reagentes-e-meios/trealose-d-2h2o-pa-25g?parceiro=6858&amp;gclid=CjwKCAjwloCSBhAeEiwA3hVo_XLa1tRsILazM18L2uJ6hMou0y3BUMZECAi_hIuK-pmgx-BJxoMzthoCkaYQAvD_BwE" TargetMode="External"/><Relationship Id="rId136" Type="http://schemas.openxmlformats.org/officeDocument/2006/relationships/hyperlink" Target="https://www.glasslab.com.br/reagentes-e-meios/brometo-de-sodio-pa-1kg?parceiro=6858" TargetMode="External"/><Relationship Id="rId257" Type="http://schemas.openxmlformats.org/officeDocument/2006/relationships/hyperlink" Target="https://www.glasslab.com.br/reagentes-e-meios/iodato-de-potassio-pa-100g?parceiro=6858" TargetMode="External"/><Relationship Id="rId378" Type="http://schemas.openxmlformats.org/officeDocument/2006/relationships/hyperlink" Target="https://jglab.com.br/produto/ureia-pa-acs-500g/" TargetMode="External"/><Relationship Id="rId135" Type="http://schemas.openxmlformats.org/officeDocument/2006/relationships/hyperlink" Target="https://www.glasslab.com.br/reagentes-e-meios/brometo-de-potassio-pa-acs-250g?parceiro=6858" TargetMode="External"/><Relationship Id="rId256" Type="http://schemas.openxmlformats.org/officeDocument/2006/relationships/hyperlink" Target="https://jglab.com.br/produto/iodato-de-potassio-pa-acs/?attribute_embalagem=250g&amp;gclid=Cj0KCQiAu62QBhC7ARIsALXijXS3GYEIqnyZekrmdsfG28E0c01Lt1izpeeE0d0TVod0FO4MVkblZuMaAiwqEALw_wcB" TargetMode="External"/><Relationship Id="rId377" Type="http://schemas.openxmlformats.org/officeDocument/2006/relationships/hyperlink" Target="https://jglab.com.br/produto/235-trifenil-tetrazolio-cloreto-pa-10g/" TargetMode="External"/><Relationship Id="rId134" Type="http://schemas.openxmlformats.org/officeDocument/2006/relationships/hyperlink" Target="https://www.laderquimica.com.br/brometo-de-potassio-pa-acs-250g-dinamica?utm_source=Site&amp;utm_medium=GoogleMerchant&amp;utm_campaign=GoogleMerchant" TargetMode="External"/><Relationship Id="rId255" Type="http://schemas.openxmlformats.org/officeDocument/2006/relationships/hyperlink" Target="https://www.acsreagentes.com.br/reativo-fixador-de-bouin-1l-acs-cientifica?utm_source=Site&amp;utm_medium=GoogleMerchant&amp;utm_campaign=GoogleMerchant" TargetMode="External"/><Relationship Id="rId376" Type="http://schemas.openxmlformats.org/officeDocument/2006/relationships/hyperlink" Target="https://www.orionprodutoscientificos.com.br/cloreto-de-235-trifeniltetrazolio-p-a-ttc-10g-exodo-cientifica?utm_source=Site&amp;utm_medium=GoogleMerchant&amp;utm_campaign=GoogleMerchant" TargetMode="External"/><Relationship Id="rId133" Type="http://schemas.openxmlformats.org/officeDocument/2006/relationships/hyperlink" Target="https://www.acsreagentes.com.br/brometo-de-potassio-pa-250g-acs-cientifica" TargetMode="External"/><Relationship Id="rId254" Type="http://schemas.openxmlformats.org/officeDocument/2006/relationships/hyperlink" Target="https://www.orionprodutoscientificos.com.br/reativo-fixador-de-bouin-1l-exodo-cientifica?utm_source=Site&amp;utm_medium=GoogleMerchant&amp;utm_campaign=GoogleMerchant" TargetMode="External"/><Relationship Id="rId375" Type="http://schemas.openxmlformats.org/officeDocument/2006/relationships/hyperlink" Target="https://www.acsreagentes.com.br/trifenil-tetrazolio-cloreto-235-ttc-pa-10g-acs-cientifica?utm_source=Site&amp;utm_medium=GoogleMerchant&amp;utm_campaign=GoogleMerchant" TargetMode="External"/><Relationship Id="rId172" Type="http://schemas.openxmlformats.org/officeDocument/2006/relationships/hyperlink" Target="https://www.metaquimica.com/cloreto-de-sodio-pa-1000g-quimica-moderna-formula-nacl.html" TargetMode="External"/><Relationship Id="rId293" Type="http://schemas.openxmlformats.org/officeDocument/2006/relationships/hyperlink" Target="https://www.acsreagentes.com.br/oxalato-de-sodio-pa-acs-500g-acs-cientifica?utm_source=Site&amp;utm_medium=GoogleMerchant&amp;utm_campaign=GoogleMerchant" TargetMode="External"/><Relationship Id="rId171" Type="http://schemas.openxmlformats.org/officeDocument/2006/relationships/hyperlink" Target="https://myhexis.com.br/index.php?option=com_movimentacao&amp;op=PROD&amp;task=detalhar&amp;produto_id=HX0178-00009" TargetMode="External"/><Relationship Id="rId292" Type="http://schemas.openxmlformats.org/officeDocument/2006/relationships/hyperlink" Target="https://jglab.com.br/produto/orceina-em-po-10g/" TargetMode="External"/><Relationship Id="rId170" Type="http://schemas.openxmlformats.org/officeDocument/2006/relationships/hyperlink" Target="https://www.lojasynth.com/reagentes-analiticosmaterias-primas/reagentes-analiticosmaterias-primas/cloreto-de-potassio-p-a" TargetMode="External"/><Relationship Id="rId291" Type="http://schemas.openxmlformats.org/officeDocument/2006/relationships/hyperlink" Target="https://www.orionprodutoscientificos.com.br/orceina-sintetica-10g-exodo-cientifica?utm_source=Site&amp;utm_medium=GoogleMerchant&amp;utm_campaign=GoogleMerchant" TargetMode="External"/><Relationship Id="rId290" Type="http://schemas.openxmlformats.org/officeDocument/2006/relationships/hyperlink" Target="https://www.orionprodutoscientificos.com.br/orceina-sintetica-10g-acs-cientifica?utm_source=Site&amp;utm_medium=GoogleMerchant&amp;utm_campaign=GoogleMerchant" TargetMode="External"/><Relationship Id="rId165" Type="http://schemas.openxmlformats.org/officeDocument/2006/relationships/hyperlink" Target="https://www.orionprodutoscientificos.com.br/cloreto-de-ferro-iii-ico-anidro-pa-1kg-exodo-cientifica?utm_source=Site&amp;utm_medium=GoogleMerchant&amp;utm_campaign=GoogleMerchant" TargetMode="External"/><Relationship Id="rId286" Type="http://schemas.openxmlformats.org/officeDocument/2006/relationships/hyperlink" Target="https://www.orionprodutoscientificos.com.br/nitrato-de-zinco-pa-500g-acs-cientifica?utm_source=Site&amp;utm_medium=GoogleMerchant&amp;utm_campaign=GoogleMerchant" TargetMode="External"/><Relationship Id="rId164" Type="http://schemas.openxmlformats.org/officeDocument/2006/relationships/hyperlink" Target="https://jglab.com.br/produto/cloreto-de-ferro-iii-anidro-500g/?gclid=Cj0KCQiAu62QBhC7ARIsALXijXTVao-3gJCuNOaqZ3y4b7r8VbgmvYYNyny8kTpju4pvUVywHQj5lDgaAnM4EALw_wcB" TargetMode="External"/><Relationship Id="rId285" Type="http://schemas.openxmlformats.org/officeDocument/2006/relationships/hyperlink" Target="https://www.glasslab.com.br/reagentes-e-meios/nitrato-de-zinco-6h2o-pa-500g?parceiro=6858&amp;gclid=Cj0KCQiAu62QBhC7ARIsALXijXReOtXQCKhls29QGGyQ2blDgvQ5I9-fhJ_arH-lHoGJRiQj6lFLaOMaAq9UEALw_wcB" TargetMode="External"/><Relationship Id="rId163" Type="http://schemas.openxmlformats.org/officeDocument/2006/relationships/hyperlink" Target="https://www.glasslab.com.br/reagentes-e-meios/cloreto-de-ferro-iii-ico-anidro-pa-1kg?parceiro=6858&amp;gclid=Cj0KCQiAu62QBhC7ARIsALXijXRFulTXIE9GdR-NfCLyHMG-VgtIOb-7gLF2IKKqONI8G7NlXNvL6EMaAvAPEALw_wcB" TargetMode="External"/><Relationship Id="rId284" Type="http://schemas.openxmlformats.org/officeDocument/2006/relationships/hyperlink" Target="https://jglab.com.br/produto/nitrato-de-zinco-6h2o-pa/?attribute_embalagem=500g&amp;gclid=Cj0KCQiAu62QBhC7ARIsALXijXSpRAzPuZpBPZAWh2TD7aP6Azi1vklAYTPKul6--YbQ6vsGQAprnzAaAkTdEALw_wcB" TargetMode="External"/><Relationship Id="rId162" Type="http://schemas.openxmlformats.org/officeDocument/2006/relationships/hyperlink" Target="https://www.didaticasp.com.br/cloreto-de-calcio-2h2o-pa-1kg" TargetMode="External"/><Relationship Id="rId283" Type="http://schemas.openxmlformats.org/officeDocument/2006/relationships/hyperlink" Target="https://www.acsreagentes.com.br/nitrato-de-sodio-pa-500g-acs-cientifica" TargetMode="External"/><Relationship Id="rId169" Type="http://schemas.openxmlformats.org/officeDocument/2006/relationships/hyperlink" Target="https://www.orionprodutoscientificos.com.br/cloreto-de-potassio-p-a-acs-500-g-fabricante-neon?utm_source=Site&amp;utm_medium=GoogleMerchant&amp;utm_campaign=GoogleMerchant" TargetMode="External"/><Relationship Id="rId168" Type="http://schemas.openxmlformats.org/officeDocument/2006/relationships/hyperlink" Target="https://www.acsreagentes.com.br/cloreto-de-magnesio-6h2o-pa-acs-500g-acs-cientifica" TargetMode="External"/><Relationship Id="rId289" Type="http://schemas.openxmlformats.org/officeDocument/2006/relationships/hyperlink" Target="https://www.didaticasp.com.br/oleo-de-imersao-100ml" TargetMode="External"/><Relationship Id="rId167" Type="http://schemas.openxmlformats.org/officeDocument/2006/relationships/hyperlink" Target="https://www.mmcomercio.net.br/produto/cloreto-de-magnesio-6h2o-pa-acs-1kg-exodo.html?utm_source=Site&amp;utm_medium=GoogleMerchant&amp;utm_campaign=GoogleMerchant" TargetMode="External"/><Relationship Id="rId288" Type="http://schemas.openxmlformats.org/officeDocument/2006/relationships/hyperlink" Target="https://www.mmcomercio.net.br/produto/oleo-pimersao-pmicroscopia-100ml-laborclin.html?utm_source=Site&amp;utm_medium=GoogleMerchant&amp;utm_campaign=GoogleMerchant" TargetMode="External"/><Relationship Id="rId166" Type="http://schemas.openxmlformats.org/officeDocument/2006/relationships/hyperlink" Target="https://www.glasslab.com.br/reagentes-e-meios/cloreto-de-magnesio-6h2o-pa-acs-500g?parceiro=6858" TargetMode="External"/><Relationship Id="rId287" Type="http://schemas.openxmlformats.org/officeDocument/2006/relationships/hyperlink" Target="https://www.orionprodutoscientificos.com.br/oleo-de-imersao-para-microscopia-100ml-acs-cientifica?utm_source=Site&amp;utm_medium=GoogleMerchant&amp;utm_campaign=GoogleMerchant" TargetMode="External"/><Relationship Id="rId161" Type="http://schemas.openxmlformats.org/officeDocument/2006/relationships/hyperlink" Target="https://www.acsreagentes.com.br/cloreto-de-calcio-2h2o-pa-500g-acs-cientifica?utm_source=Site&amp;utm_medium=GoogleMerchant&amp;utm_campaign=GoogleMerchant" TargetMode="External"/><Relationship Id="rId282" Type="http://schemas.openxmlformats.org/officeDocument/2006/relationships/hyperlink" Target="https://www.orionprodutoscientificos.com.br/nitrato-de-sodio-pa-500g-exodo-cientifica?utm_source=Site&amp;utm_medium=GoogleMerchant&amp;utm_campaign=GoogleMerchant" TargetMode="External"/><Relationship Id="rId160" Type="http://schemas.openxmlformats.org/officeDocument/2006/relationships/hyperlink" Target="https://www.glasslab.com.br/reagentes-e-meios/cloreto-de-calcio-2h2o-pa-500g?parceiro=6858" TargetMode="External"/><Relationship Id="rId281" Type="http://schemas.openxmlformats.org/officeDocument/2006/relationships/hyperlink" Target="https://www.glasslab.com.br/reagentes-e-meios/nitrato-de-sodio-pa-500g?parceiro=6858" TargetMode="External"/><Relationship Id="rId280" Type="http://schemas.openxmlformats.org/officeDocument/2006/relationships/hyperlink" Target="https://www.google.com/search?q=NITRATO+DE+PRATA+P.A.+ACS&amp;sa=X&amp;rlz=1C1ISCS_pt-PTBR945BR945&amp;biw=1280&amp;bih=625&amp;tbm=shop&amp;ei=7p0LYrjYKpi_5OUPj82s6AQ&amp;ved=0ahUKEwi4h-6U3IH2AhWYH7kGHY8mC00Q4dUDCAY&amp;uact=5&amp;oq=NITRATO+DE+PRATA+P.A.+ACS&amp;gs_lcp=Cgtwcm9kdWN0cy1jYxADMggIABCwAxCiBEoECEEYAVAAWABg7lNoAnAAeACAAQCIAQCSAQCYAQDIAQHAAQE&amp;sclient=products-cc" TargetMode="External"/><Relationship Id="rId159" Type="http://schemas.openxmlformats.org/officeDocument/2006/relationships/hyperlink" Target="https://www.acsreagentes.com.br/cloreto-de-bario-2h2o-pa-acs-1kg-acs-cientifica" TargetMode="External"/><Relationship Id="rId154" Type="http://schemas.openxmlformats.org/officeDocument/2006/relationships/hyperlink" Target="https://www.laderquimica.com.br/cloreto-de-aluminio-6h2o-pa-500g-dinamica?utm_source=Site&amp;utm_medium=GoogleMerchant&amp;utm_campaign=GoogleMerchant" TargetMode="External"/><Relationship Id="rId275" Type="http://schemas.openxmlformats.org/officeDocument/2006/relationships/hyperlink" Target="https://www.acsreagentes.com.br/nitrato-de-chumbo-ii-pa-acs-250g-acs-cientifica" TargetMode="External"/><Relationship Id="rId396" Type="http://schemas.openxmlformats.org/officeDocument/2006/relationships/hyperlink" Target="https://refrigeracao.suryha.com.br/produto/80156.001/oleo-lubrificante-bomba-de-vacuo-500ml-iso-vg-46?gclid=Cj0KCQiA09eQBhCxARIsAAYRiykIZt7VaEJRl92sGt5clAsfCgB8BajL4JpE4flOhiKlz7GcWA_MuCIaAnHcEALw_wcB" TargetMode="External"/><Relationship Id="rId153" Type="http://schemas.openxmlformats.org/officeDocument/2006/relationships/hyperlink" Target="https://jglab.com.br/produto/carvao-ativo-em-po-pa-500g/" TargetMode="External"/><Relationship Id="rId274" Type="http://schemas.openxmlformats.org/officeDocument/2006/relationships/hyperlink" Target="https://www.glasslab.com.br/reagentes-e-meios/nitrato-de-chumbo-ii-pa-acs-250g?parceiro=6858" TargetMode="External"/><Relationship Id="rId395" Type="http://schemas.openxmlformats.org/officeDocument/2006/relationships/hyperlink" Target="https://www.samatec.com.br/oleo-lubrificante-bomba-de-vacuo-iso-vg-46-500ml--suryhaoleo-lubrificante-bomba-de-vacuo-iso-vg-46-500ml--suryha/p?idsku=2001968&amp;gclid=Cj0KCQiA09eQBhCxARIsAAYRiykcNLmql6hPLzJr-2ss_FanoMfjkmdDZoKeS5JyVvQi5y88_BxltPMaAlcYEALw_wcB" TargetMode="External"/><Relationship Id="rId152" Type="http://schemas.openxmlformats.org/officeDocument/2006/relationships/hyperlink" Target="https://www.acsreagentes.com.br/carvao-ativo-em-po-pa-250g-acs-cientifica" TargetMode="External"/><Relationship Id="rId273" Type="http://schemas.openxmlformats.org/officeDocument/2006/relationships/hyperlink" Target="https://www.orionprodutoscientificos.com.br/naftalina-naftaleno-ps-500g-exodo-cientifica?utm_source=Site&amp;utm_medium=GoogleMerchant&amp;utm_campaign=GoogleMerchant" TargetMode="External"/><Relationship Id="rId394" Type="http://schemas.openxmlformats.org/officeDocument/2006/relationships/hyperlink" Target="https://www.eletrofrigor.com.br/oleo-sintetico-iso32-gas-r134a-montreal-litro.html" TargetMode="External"/><Relationship Id="rId151" Type="http://schemas.openxmlformats.org/officeDocument/2006/relationships/hyperlink" Target="https://www.orionprodutoscientificos.com.br/carvao-ativo-em-po-pa-500g-acs-cientifica?utm_source=Site&amp;utm_medium=GoogleMerchant&amp;utm_campaign=GoogleMerchant" TargetMode="External"/><Relationship Id="rId272" Type="http://schemas.openxmlformats.org/officeDocument/2006/relationships/hyperlink" Target="https://www.acsreagentes.com.br/naftalina-naftaleno-ps-500g-acs-cientifica" TargetMode="External"/><Relationship Id="rId393" Type="http://schemas.openxmlformats.org/officeDocument/2006/relationships/hyperlink" Target="https://www.refrigeracaocatavento.com.br/outras-categorias/compressores/oleo-montreal-prime-iso-vg-32-1l?parceiro=6374" TargetMode="External"/><Relationship Id="rId158" Type="http://schemas.openxmlformats.org/officeDocument/2006/relationships/hyperlink" Target="https://www.orionprodutoscientificos.com.br/cloreto-de-bario-2h2o-pa-acs-1kg-exodo-cientifica?utm_source=Site&amp;utm_medium=GoogleMerchant&amp;utm_campaign=GoogleMerchant" TargetMode="External"/><Relationship Id="rId279" Type="http://schemas.openxmlformats.org/officeDocument/2006/relationships/hyperlink" Target="https://www.orionprodutoscientificos.com.br/nitrato-de-prata-pa-acs-25g-exodo-cientifica?utm_source=Site&amp;utm_medium=GoogleMerchant&amp;utm_campaign=GoogleMerchant" TargetMode="External"/><Relationship Id="rId157" Type="http://schemas.openxmlformats.org/officeDocument/2006/relationships/hyperlink" Target="https://www.glasslab.com.br/reagentes-e-meios/cloreto-de-bario-2h2o-pa-acs-1kg?parceiro=6858&amp;gclid=Cj0KCQiAu62QBhC7ARIsALXijXQiUMD9tSSa8eNPLfW7c85ce-LfIz0_VgDjE9f1booYdSp3KVn9aqAaAlYKEALw_wcB" TargetMode="External"/><Relationship Id="rId278" Type="http://schemas.openxmlformats.org/officeDocument/2006/relationships/hyperlink" Target="https://www.glasslab.com.br/reagentes-e-meios/nitrato-de-prata-pa-acs-25g?parceiro=6858" TargetMode="External"/><Relationship Id="rId399" Type="http://schemas.openxmlformats.org/officeDocument/2006/relationships/hyperlink" Target="https://www.didaticasp.com.br/ferro-reduzido-pa-500g" TargetMode="External"/><Relationship Id="rId156" Type="http://schemas.openxmlformats.org/officeDocument/2006/relationships/hyperlink" Target="https://jglab.com.br/produto/cloreto-de-aluminio-6h2o-pa/?attribute_embalagem=500g&amp;gclid=Cj0KCQiAu62QBhC7ARIsALXijXS8MmIpDjz35Jhltscpq65uIqPE0ttJjCaHRTwE78FziMGOsfVTQi8aAoInEALw_wcB" TargetMode="External"/><Relationship Id="rId277" Type="http://schemas.openxmlformats.org/officeDocument/2006/relationships/hyperlink" Target="https://www.glasslab.com.br/reagentes-e-meios/nitrato-de-potassio-pa-1kg?parceiro=6858" TargetMode="External"/><Relationship Id="rId398" Type="http://schemas.openxmlformats.org/officeDocument/2006/relationships/hyperlink" Target="https://www.orionprodutoscientificos.com.br/ferro-metalico-reduzido-em-po-p-a-500-g-fabricante-neon?utm_source=Site&amp;utm_medium=GoogleMerchant&amp;utm_campaign=GoogleMerchant" TargetMode="External"/><Relationship Id="rId155" Type="http://schemas.openxmlformats.org/officeDocument/2006/relationships/hyperlink" Target="https://www.orionprodutoscientificos.com.br/cloreto-de-aluminio-6h2o-pa-500g-exodo-cientifica?utm_source=Site&amp;utm_medium=GoogleMerchant&amp;utm_campaign=GoogleMerchant" TargetMode="External"/><Relationship Id="rId276" Type="http://schemas.openxmlformats.org/officeDocument/2006/relationships/hyperlink" Target="https://www.orionprodutoscientificos.com.br/oxido-de-chumbo-ii-monoxidolitargirio-pa-500g-acs-cientifica?utm_source=Site&amp;utm_medium=GoogleMerchant&amp;utm_campaign=GoogleMerchant" TargetMode="External"/><Relationship Id="rId397" Type="http://schemas.openxmlformats.org/officeDocument/2006/relationships/hyperlink" Target="https://www.frigelar.com.br/oleo-mineral-iso-46-sintetico-bomba-vacuo-1l/p/kit3712?gclid=Cj0KCQiA09eQBhCxARIsAAYRiynjO-CgfILDSlJy6_JekHS9RN0kEP7rs6lPuN9eU7xJBNKOIqDKm7saAoqkEALw_wcB" TargetMode="External"/><Relationship Id="rId40" Type="http://schemas.openxmlformats.org/officeDocument/2006/relationships/hyperlink" Target="https://www.lojaprlabor.com.br/produtos/agar-bacteriologico-frasco-500g-kasvi/?pf=gs&amp;gclid=Cj0KCQiAr5iQBhCsARIsAPcwROO2FsaKouksUDIb01dUc6lL8JsWXdIV_hmXV-A7BM0oTT12kgsqZGUaAtwiEALw_wcB" TargetMode="External"/><Relationship Id="rId42" Type="http://schemas.openxmlformats.org/officeDocument/2006/relationships/hyperlink" Target="https://www.lojalab.com.br/produto_agar-base-columbia---frasco-500g_1136" TargetMode="External"/><Relationship Id="rId41" Type="http://schemas.openxmlformats.org/officeDocument/2006/relationships/hyperlink" Target="https://www.forlabexpress.com.br/agar-bacteriologico-frasco-500g-himedia?parceiro=3512&amp;gclid=Cj0KCQiAr5iQBhCsARIsAPcwROPaYvwKzXrDvMcL66i0TwiT8KV1lFwDBUOrDsz8wGrom3emuZEhhFAaAiKeEALw_wcB" TargetMode="External"/><Relationship Id="rId44" Type="http://schemas.openxmlformats.org/officeDocument/2006/relationships/hyperlink" Target="https://jglab.com.br/produto/agar-base-sangue-columbia-500g/" TargetMode="External"/><Relationship Id="rId43" Type="http://schemas.openxmlformats.org/officeDocument/2006/relationships/hyperlink" Target="https://www.forlabexpress.com.br/agar-sangue-base-frasco-500g-himedia?parceiro=3512" TargetMode="External"/><Relationship Id="rId46" Type="http://schemas.openxmlformats.org/officeDocument/2006/relationships/hyperlink" Target="https://www.orionprodutoscientificos.com.br/caldo-batata-dextrose-frasco-500g-himedia?utm_source=Site&amp;utm_medium=GoogleMerchant&amp;utm_campaign=GoogleMerchant" TargetMode="External"/><Relationship Id="rId45" Type="http://schemas.openxmlformats.org/officeDocument/2006/relationships/hyperlink" Target="https://www.forlabexpress.com.br/agar-batata-dextrose-kasvi-frasco-500g?parceiro=3512" TargetMode="External"/><Relationship Id="rId48" Type="http://schemas.openxmlformats.org/officeDocument/2006/relationships/hyperlink" Target="https://www.forlabexpress.com.br/agar-bile-esculina-frasco-500g-himedia?parceiro=3512&amp;gclid=Cj0KCQiAmKiQBhClARIsAKtSj-mc6sCtdkWnFVCCCWWf49c1cbV8rKeF8qlpPbW2QaE_nKT9dAehMW0aAh_OEALw_wcB" TargetMode="External"/><Relationship Id="rId47" Type="http://schemas.openxmlformats.org/officeDocument/2006/relationships/hyperlink" Target="https://jglab.com.br/produto/caldo-batata-dextrose-500g/" TargetMode="External"/><Relationship Id="rId49" Type="http://schemas.openxmlformats.org/officeDocument/2006/relationships/hyperlink" Target="https://www.lojalab.com.br/produto_agar-bile-esculina---frasco-500g_1193" TargetMode="External"/><Relationship Id="rId31" Type="http://schemas.openxmlformats.org/officeDocument/2006/relationships/hyperlink" Target="https://myhexis.com.br/index.php?option=com_movimentacao&amp;op=PROD&amp;busca%5Btexto%5D=%C1CIDO+SULF%DARICO+pa+acs" TargetMode="External"/><Relationship Id="rId30" Type="http://schemas.openxmlformats.org/officeDocument/2006/relationships/hyperlink" Target="https://www.lojaprolab.com.br/solucao-schiff-reativo-80751?utm_source=google&amp;utm_medium=feed&amp;utm_campaign=shopping" TargetMode="External"/><Relationship Id="rId33" Type="http://schemas.openxmlformats.org/officeDocument/2006/relationships/hyperlink" Target="https://www.orionprodutoscientificos.com.br/acido-tricloroacetico-p-a-500-g-fabricante-neon" TargetMode="External"/><Relationship Id="rId32" Type="http://schemas.openxmlformats.org/officeDocument/2006/relationships/hyperlink" Target="https://www.glasslab.com.br/reagentes-e-meios/acido-sulfurico-pa-acs-iso-1l?parceiro=6858" TargetMode="External"/><Relationship Id="rId35" Type="http://schemas.openxmlformats.org/officeDocument/2006/relationships/hyperlink" Target="https://www.acsreagentes.com.br/acido-tricloroacetico-pa-acs-500g-acs-cientifica?utm_source=Site&amp;utm_medium=GoogleMerchant&amp;utm_campaign=GoogleMerchant" TargetMode="External"/><Relationship Id="rId34" Type="http://schemas.openxmlformats.org/officeDocument/2006/relationships/hyperlink" Target="https://jglab.com.br/produto/acido-tricloroacetico-pa-acs/?attribute_embalagem=100g" TargetMode="External"/><Relationship Id="rId37" Type="http://schemas.openxmlformats.org/officeDocument/2006/relationships/hyperlink" Target="https://www.acsreagentes.com.br/agar-agar-original-500g-acs-cientifica?utm_source=Site&amp;utm_medium=GoogleMerchant&amp;utm_campaign=GoogleMerchant" TargetMode="External"/><Relationship Id="rId36" Type="http://schemas.openxmlformats.org/officeDocument/2006/relationships/hyperlink" Target="https://jglab.com.br/produto/agar-agar-nacional-500g/?gclid=Cj0KCQiAr5iQBhCsARIsAPcwRONhOy2XVKVn9iRsJN5D4AqC__JdA2r4X2k3VTMrCP4Hb2EtclDESj8aAs27EALw_wcB" TargetMode="External"/><Relationship Id="rId39" Type="http://schemas.openxmlformats.org/officeDocument/2006/relationships/hyperlink" Target="https://jglab.com.br/produto/agar-agar-bacteriologico-nacional-500g/?gclid=Cj0KCQiAr5iQBhCsARIsAPcwROPaLhVLBtxxbFF4XSude8Ph3HTw-knMShlxuqw_srC_q-8aY4_-9qkaAolfEALw_wcB" TargetMode="External"/><Relationship Id="rId38" Type="http://schemas.openxmlformats.org/officeDocument/2006/relationships/hyperlink" Target="https://www.orionprodutoscientificos.com.br/agar-agar-original-500g-acs-cientifica?utm_source=Site&amp;utm_medium=GoogleMerchant&amp;utm_campaign=GoogleMerchant" TargetMode="External"/><Relationship Id="rId20" Type="http://schemas.openxmlformats.org/officeDocument/2006/relationships/hyperlink" Target="https://www.acsreagentes.com.br/acido-malonico-pa-100g-acs-cientifica?utm_source=Site&amp;utm_medium=GoogleMerchant&amp;utm_campaign=GoogleMerchant" TargetMode="External"/><Relationship Id="rId22" Type="http://schemas.openxmlformats.org/officeDocument/2006/relationships/hyperlink" Target="https://www.orionprodutoscientificos.com.br/acido-malonico-pa-100g-exodo-cientifica?utm_source=Site&amp;utm_medium=GoogleMerchant&amp;utm_campaign=GoogleMerchant" TargetMode="External"/><Relationship Id="rId21" Type="http://schemas.openxmlformats.org/officeDocument/2006/relationships/hyperlink" Target="https://www.glasslab.com.br/reagentes-e-meios/acido-malonico-pa-100g?parceiro=6858" TargetMode="External"/><Relationship Id="rId24" Type="http://schemas.openxmlformats.org/officeDocument/2006/relationships/hyperlink" Target="https://www.glasslab.com.br/reagentes-e-meios/acido-oxalico-cristal-2h2o-pa-500g?parceiro=6858" TargetMode="External"/><Relationship Id="rId23" Type="http://schemas.openxmlformats.org/officeDocument/2006/relationships/hyperlink" Target="https://www.glasslab.com.br/reagentes-e-meios/acido-nitrico-65-pa-acs-iso-1l?parceiro=6858" TargetMode="External"/><Relationship Id="rId409" Type="http://schemas.openxmlformats.org/officeDocument/2006/relationships/hyperlink" Target="https://www.forlabexpress.com.br/cloroformio-d-rmn-99-8-d-acroseal-100-ml" TargetMode="External"/><Relationship Id="rId404" Type="http://schemas.openxmlformats.org/officeDocument/2006/relationships/hyperlink" Target="https://www.orionprodutoscientificos.com.br/feniltiocarbamida-feniltioureia-pa-5g-exodo-cientifica?utm_source=Site&amp;utm_medium=GoogleMerchant&amp;utm_campaign=GoogleMerchant" TargetMode="External"/><Relationship Id="rId403" Type="http://schemas.openxmlformats.org/officeDocument/2006/relationships/hyperlink" Target="https://www.orionprodutoscientificos.com.br/feniltiocarbamida-feniltioureia-pa-5g-exodo-cientifica?utm_source=Site&amp;utm_medium=GoogleMerchant&amp;utm_campaign=GoogleMerchant" TargetMode="External"/><Relationship Id="rId402" Type="http://schemas.openxmlformats.org/officeDocument/2006/relationships/hyperlink" Target="https://www.didaticasp.com.br/hidroxido-de-potassio-pa-1kg-pfssp" TargetMode="External"/><Relationship Id="rId401" Type="http://schemas.openxmlformats.org/officeDocument/2006/relationships/hyperlink" Target="https://www.glasslab.com.br/reagentes-e-meios/hidroxido-de-potassio-escamas-pa-1kg?parceiro=6858" TargetMode="External"/><Relationship Id="rId408" Type="http://schemas.openxmlformats.org/officeDocument/2006/relationships/hyperlink" Target="https://www.sigmaaldrich.com/BR/pt/product/aldrich/151823" TargetMode="External"/><Relationship Id="rId407" Type="http://schemas.openxmlformats.org/officeDocument/2006/relationships/hyperlink" Target="https://www.sigmaaldrich.com/BR/pt/product/aldrich/c75802" TargetMode="External"/><Relationship Id="rId406" Type="http://schemas.openxmlformats.org/officeDocument/2006/relationships/hyperlink" Target="https://www.orionprodutoscientificos.com.br/alcool-terc-amilico-p-a-1000-ml-fabricante-neon" TargetMode="External"/><Relationship Id="rId405" Type="http://schemas.openxmlformats.org/officeDocument/2006/relationships/hyperlink" Target="https://www.sigmaaldrich.com/BR/pt/substance/2methyl2butanol881575854" TargetMode="External"/><Relationship Id="rId26" Type="http://schemas.openxmlformats.org/officeDocument/2006/relationships/hyperlink" Target="https://www.orionprodutoscientificos.com.br/acido-oxalico-cristal-2h2o-pa-500g-acs-cientifica?utm_source=Site&amp;utm_medium=GoogleMerchant&amp;utm_campaign=GoogleMerchant" TargetMode="External"/><Relationship Id="rId25" Type="http://schemas.openxmlformats.org/officeDocument/2006/relationships/hyperlink" Target="https://jglab.com.br/produto/acido-oxalico-cristal-2h2o-pa-acs/?attribute_embalagem=1kg" TargetMode="External"/><Relationship Id="rId28" Type="http://schemas.openxmlformats.org/officeDocument/2006/relationships/hyperlink" Target="https://www.acsreagentes.com.br/reativo-schiff-reativo-p-aldeidos-500ml-acs-cientifica?utm_source=Site&amp;utm_medium=GoogleMerchant&amp;utm_campaign=GoogleMerchant" TargetMode="External"/><Relationship Id="rId27" Type="http://schemas.openxmlformats.org/officeDocument/2006/relationships/hyperlink" Target="https://www.glasslab.com.br/reagentes-e-meios/acido-perclorico-70-pa-acs-1l?parceiro=6858" TargetMode="External"/><Relationship Id="rId400" Type="http://schemas.openxmlformats.org/officeDocument/2006/relationships/hyperlink" Target="https://www.glasslab.com.br/reagentes-e-meios/ferro-reduzido-po-pa-1kg" TargetMode="External"/><Relationship Id="rId29" Type="http://schemas.openxmlformats.org/officeDocument/2006/relationships/hyperlink" Target="https://www.orionprodutoscientificos.com.br/reativo-schiff-reativo-p-aldeidos-500ml-exodo-cientifica?utm_source=Site&amp;utm_medium=GoogleMerchant&amp;utm_campaign=GoogleMerchant" TargetMode="External"/><Relationship Id="rId11" Type="http://schemas.openxmlformats.org/officeDocument/2006/relationships/hyperlink" Target="https://www.glasslab.com.br/reagentes-e-meios/acido-acetico-glacial-pa-acs-1l?parceiro=6858" TargetMode="External"/><Relationship Id="rId10" Type="http://schemas.openxmlformats.org/officeDocument/2006/relationships/hyperlink" Target="https://www.glasslab.com.br/reagentes-e-meios/acido-acetico-glacial-pa-acs-iso-1l?parceiro=6858" TargetMode="External"/><Relationship Id="rId13" Type="http://schemas.openxmlformats.org/officeDocument/2006/relationships/hyperlink" Target="https://www.glasslab.com.br/reagentes-e-meios/acido-cloridrico-37-pa-acs-1l?parceiro=6858" TargetMode="External"/><Relationship Id="rId12" Type="http://schemas.openxmlformats.org/officeDocument/2006/relationships/hyperlink" Target="https://www.glasslab.com.br/reagentes-e-meios/acido-borico-pa-acs-1kg?parceiro=6858&amp;gclid=Cj0KCQiAr5iQBhCsARIsAPcwROMRt_K8F25enLEJvzB83CusPl5INpaqTMKXl5M_SEK1BkbPM58AhMsaAnouEALw_wcB" TargetMode="External"/><Relationship Id="rId15" Type="http://schemas.openxmlformats.org/officeDocument/2006/relationships/hyperlink" Target="https://www.laderquimica.com.br/acido-fosforico-85-pa-acs-1l-dinamica-?utm_source=Site&amp;utm_medium=GoogleMerchant&amp;utm_campaign=GoogleMerchant" TargetMode="External"/><Relationship Id="rId14" Type="http://schemas.openxmlformats.org/officeDocument/2006/relationships/hyperlink" Target="https://www.acsreagentes.com.br/acido-fosforico-orto-85-pa-acs-1l-acs-cientifica?utm_source=Site&amp;utm_medium=GoogleMerchant&amp;utm_campaign=GoogleMerchant" TargetMode="External"/><Relationship Id="rId17" Type="http://schemas.openxmlformats.org/officeDocument/2006/relationships/hyperlink" Target="https://www.cromoslab.com.br/consumiveis/acido-galico-pa-100gr-dinamica?parceiro=3365" TargetMode="External"/><Relationship Id="rId16" Type="http://schemas.openxmlformats.org/officeDocument/2006/relationships/hyperlink" Target="https://jglab.com.br/produto/acido-fosforico-85-pa-acs-1l/" TargetMode="External"/><Relationship Id="rId19" Type="http://schemas.openxmlformats.org/officeDocument/2006/relationships/hyperlink" Target="https://jglab.com.br/produto/acido-galico-pa-100g/" TargetMode="External"/><Relationship Id="rId18" Type="http://schemas.openxmlformats.org/officeDocument/2006/relationships/hyperlink" Target="https://www.orionprodutoscientificos.com.br/acido-galico-monohidratado-p-a-acs-100-g-fabricante-neon?utm_source=Site&amp;utm_medium=GoogleMerchant&amp;utm_campaign=GoogleMerchant" TargetMode="External"/><Relationship Id="rId84" Type="http://schemas.openxmlformats.org/officeDocument/2006/relationships/hyperlink" Target="https://myhexis.com.br/index.php?option=com_movimentacao&amp;op=PROD&amp;task=detalhar&amp;produto_id=HX0018-00101" TargetMode="External"/><Relationship Id="rId83" Type="http://schemas.openxmlformats.org/officeDocument/2006/relationships/hyperlink" Target="https://www.glasslab.com.br/reagentes-e-meios/vermelho-de-metila-pa-acs-25g?parceiro=6858" TargetMode="External"/><Relationship Id="rId86" Type="http://schemas.openxmlformats.org/officeDocument/2006/relationships/hyperlink" Target="https://www.acsreagentes.com.br/alcool-butilico-normal-paacs-butanol-1-1l-acs-cientifica" TargetMode="External"/><Relationship Id="rId85" Type="http://schemas.openxmlformats.org/officeDocument/2006/relationships/hyperlink" Target="https://www.didaticasp.com.br/alcool-butilico-pa-1-butanol-1l-pfssp" TargetMode="External"/><Relationship Id="rId88" Type="http://schemas.openxmlformats.org/officeDocument/2006/relationships/hyperlink" Target="https://www.oceanob2b.com/alcool-liquido-70-1l--p1016301?tsid=16&amp;gclid=CjwKCAiAgbiQBhAHEiwAuQ6BktItDKiY0Pmz931Q_DbM2nsAfEfhrfBEI_2iZXqLt7m0ooe42vxcvhoCyx8QAvD_BwE" TargetMode="External"/><Relationship Id="rId87" Type="http://schemas.openxmlformats.org/officeDocument/2006/relationships/hyperlink" Target="https://www.utilidadesclinicas.com.br/alcool-prolink-70-1l-prolink-pro15274a.html?gclid=CjwKCAiAgbiQBhAHEiwAuQ6BkqEcZTi4U5p3DMKTqQjU8KHRSNuJV-Se9Q3DvDQ6KrcgxoPzLawlEhoChakQAvD_BwE" TargetMode="External"/><Relationship Id="rId89" Type="http://schemas.openxmlformats.org/officeDocument/2006/relationships/hyperlink" Target="https://www.dentalmaster.com.br/alcool-etilico-hidratado-70----prolink-/p?idsku=2008559" TargetMode="External"/><Relationship Id="rId80" Type="http://schemas.openxmlformats.org/officeDocument/2006/relationships/hyperlink" Target="https://www.orionprodutoscientificos.com.br/agua-peptona-tamponada-frasco-500g-himedia?utm_source=Site&amp;utm_medium=GoogleMerchant&amp;utm_campaign=GoogleMerchant" TargetMode="External"/><Relationship Id="rId82" Type="http://schemas.openxmlformats.org/officeDocument/2006/relationships/hyperlink" Target="https://www.laderquimica.com.br/alaranjado-de-metila-pa-acs-25g-neon?utm_source=Site&amp;utm_medium=GoogleMerchant&amp;utm_campaign=GoogleMerchant" TargetMode="External"/><Relationship Id="rId81" Type="http://schemas.openxmlformats.org/officeDocument/2006/relationships/hyperlink" Target="https://www.orionprodutoscientificos.com.br/alaranjado-de-metila-pa-acs-25g-acs-cientifica?utm_source=Site&amp;utm_medium=GoogleMerchant&amp;utm_campaign=GoogleMerchant" TargetMode="External"/><Relationship Id="rId73" Type="http://schemas.openxmlformats.org/officeDocument/2006/relationships/hyperlink" Target="https://www.dsyslab.com.br/meios-de-cultura/agar-em-po-desidratado/agar-base-ureia-christensen-himedia" TargetMode="External"/><Relationship Id="rId72" Type="http://schemas.openxmlformats.org/officeDocument/2006/relationships/hyperlink" Target="https://jglab.com.br/produto/agar-base-ureia-agar-base-ureia-de-christensen-500g/?gclid=Cj0KCQiAmKiQBhClARIsAKtSj-kionYiU9-td32AMFDhzHyaYlbZJbHAmVt6UmgcXIUwukc6wYQEB8oaAg6iEALw_wcB" TargetMode="External"/><Relationship Id="rId75" Type="http://schemas.openxmlformats.org/officeDocument/2006/relationships/hyperlink" Target="https://www.utilidadesclinicas.com.br/agua-destilada-5l-ssplus-ssp20884a.html" TargetMode="External"/><Relationship Id="rId74" Type="http://schemas.openxmlformats.org/officeDocument/2006/relationships/hyperlink" Target="https://www.submarino.com.br/produto/3565931363?epar=bp_pl_00_go_smartshopping_belezaesaude_geral_gmv&amp;epar=bp_pl_00_go_smartshopping_belezaesaude_geral_gmv&amp;opn=XMLGOOGLE&amp;WT.srch=1&amp;offerId=60f5b2c10fff249a3273b9d0&amp;utm_medium=buscappc&amp;utm_source=google&amp;utm_campaign=marca%3Asuba%3Bmidia%3Abuscappc%3Bformato%3Apla%3Bsubformato%3A00%3Bidcampanha%3Asmartshopping_belezaesaude_geral_gmv&amp;gclid=Cj0KCQiAmKiQBhClARIsAKtSj-k72oE78I5cMCitmnKH3LY5LxGARzlavajK6hPVcuElji-2xUxh3UoaAhgnEALw_wcB&amp;embalagem=Frasco%20com%20500%20gramas" TargetMode="External"/><Relationship Id="rId77" Type="http://schemas.openxmlformats.org/officeDocument/2006/relationships/hyperlink" Target="https://www.lojasnovaeracosmeticos.com.br/agua-destilada-repos-5000ml/p" TargetMode="External"/><Relationship Id="rId76" Type="http://schemas.openxmlformats.org/officeDocument/2006/relationships/hyperlink" Target="https://www.distribuidorasensitive.com.br/galao-5-litros-agua-destilada-asfer?utm_source=Site&amp;utm_medium=GoogleMerchant&amp;utm_campaign=GoogleMerchant" TargetMode="External"/><Relationship Id="rId79" Type="http://schemas.openxmlformats.org/officeDocument/2006/relationships/hyperlink" Target="https://jglab.com.br/produto/agua-peptonada-tamponada-bpw-iso-500g/?gclid=Cj0KCQiAmKiQBhClARIsAKtSj-k1DBdpfmL0dCP5wULTSGaIsSr39FJUjoRrsgHMwbzE17bptxCOVUAaApWMEALw_wcB" TargetMode="External"/><Relationship Id="rId78" Type="http://schemas.openxmlformats.org/officeDocument/2006/relationships/hyperlink" Target="https://www.forlabexpress.com.br/agua-peptonada-tamponada-frasco-500g-himedia?parceiro=3512&amp;gclid=Cj0KCQiAmKiQBhClARIsAKtSj-l0A0nbf1CqlOXOeBMhhSg4EQD3cl1hR_K5FwO9uxe9PREI7udaL38aArdpEALw_wcB" TargetMode="External"/><Relationship Id="rId71" Type="http://schemas.openxmlformats.org/officeDocument/2006/relationships/hyperlink" Target="https://www.orionprodutoscientificos.com.br/agar-triplice-acucar-ferro-tsi-frasco-500g-himedia?utm_source=Site&amp;utm_medium=GoogleMerchant&amp;utm_campaign=GoogleMerchant" TargetMode="External"/><Relationship Id="rId70" Type="http://schemas.openxmlformats.org/officeDocument/2006/relationships/hyperlink" Target="https://www.glasslab.com.br/reagentes-e-meios/agar-triplice-acucar-ferro-tsi-frasco-500g-k25-1046-kasvi?parceiro=6858" TargetMode="External"/><Relationship Id="rId62" Type="http://schemas.openxmlformats.org/officeDocument/2006/relationships/hyperlink" Target="https://www.rmdistribuidorasc.com.br/MLB-1468025714-agar-batata-dextrose-frasco-500g-_JM" TargetMode="External"/><Relationship Id="rId61" Type="http://schemas.openxmlformats.org/officeDocument/2006/relationships/hyperlink" Target="https://www.lojalab.com.br/produto_agar-sabouraud-dextrose.--frasco-500-g_1176" TargetMode="External"/><Relationship Id="rId64" Type="http://schemas.openxmlformats.org/officeDocument/2006/relationships/hyperlink" Target="https://www.rmdistribuidorasc.com.br/MLB-1944697801-agar-sangue-base-frasco-500g-_JM?utm_source=google&amp;utm_medium=cpc&amp;utm_campaign=darwin_ss" TargetMode="External"/><Relationship Id="rId63" Type="http://schemas.openxmlformats.org/officeDocument/2006/relationships/hyperlink" Target="https://www.forlabexpress.com.br/agar-sangue-base-frasco-500g-himedia?parceiro=3512&amp;gclid=Cj0KCQiAmKiQBhClARIsAKtSj-kRaf6Bu-038chcnqC5nDJbKDaOMlU6DB5rG_Ofi4am8EplXPcp6_0aAn9YEALw_wcB" TargetMode="External"/><Relationship Id="rId66" Type="http://schemas.openxmlformats.org/officeDocument/2006/relationships/hyperlink" Target="https://www.forlabexpress.com.br/meio-sim-frasco-500g-himedia?parceiro=3512" TargetMode="External"/><Relationship Id="rId65" Type="http://schemas.openxmlformats.org/officeDocument/2006/relationships/hyperlink" Target="https://www.lojaprlabor.com.br/produtos/agar-bacteriologico-frasco-500g-kasvi/?pf=gs&amp;gclid=Cj0KCQiAmKiQBhClARIsAKtSj-lbNzkJ6-exU8UzFjUh5tAZPmHPjI8PHTnNJj7mi4gMRy0DmcDhk7QaAkUtEALw_wcB" TargetMode="External"/><Relationship Id="rId68" Type="http://schemas.openxmlformats.org/officeDocument/2006/relationships/hyperlink" Target="https://www.vitchlab.com.br/laboratorial/meio-de-cultivo/meio-sim-frasco-500g?parceiro=7632" TargetMode="External"/><Relationship Id="rId67" Type="http://schemas.openxmlformats.org/officeDocument/2006/relationships/hyperlink" Target="https://www.lojalab.com.br/produto_meio-sim.-frasco-500-g_1187" TargetMode="External"/><Relationship Id="rId60" Type="http://schemas.openxmlformats.org/officeDocument/2006/relationships/hyperlink" Target="https://jglab.com.br/produto/caldo-sabouraud-dextrose-500g/?gclid=Cj0KCQiAmKiQBhClARIsAKtSj-mB9UJDjAv0CM7s4NSI-rEx27SpUKrI_02twyQvbGsBwcjsezt_qzUaArzHEALw_wcB" TargetMode="External"/><Relationship Id="rId69" Type="http://schemas.openxmlformats.org/officeDocument/2006/relationships/hyperlink" Target="https://www.forlabexpress.com.br/agar-triplice-acucar-ferro-tsi-frasco-500g-himedia?parceiro=3512&amp;gclid=Cj0KCQiAmKiQBhClARIsAKtSj-nBX3PjF1NvuySSy2_2Twi_C40bTNenNxvmmwPKoNnVOXv_2TNJlk4aAg6uEALw_wcB" TargetMode="External"/><Relationship Id="rId51" Type="http://schemas.openxmlformats.org/officeDocument/2006/relationships/hyperlink" Target="https://www.forlabexpress.com.br/agar-lisina-ferro-lia-frasco-500g-himedia?parceiro=3512&amp;gclid=Cj0KCQiAmKiQBhClARIsAKtSj-mxT8n5OOxSafXWumBOGySK2y93ncusOkZJv6OsFN2yNCnuRKPBw1MaAi32EALw_wcB" TargetMode="External"/><Relationship Id="rId50" Type="http://schemas.openxmlformats.org/officeDocument/2006/relationships/hyperlink" Target="https://www.dsyslab.com.br/meios-de-cultura/agar-em-po-desidratado/agar-bile-esculina-himedia" TargetMode="External"/><Relationship Id="rId53" Type="http://schemas.openxmlformats.org/officeDocument/2006/relationships/hyperlink" Target="https://www.dsyslab.com.br/meios-de-cultura/agar-em-po-desidratado/agar-lisina-ferro-lia-kasvi" TargetMode="External"/><Relationship Id="rId52" Type="http://schemas.openxmlformats.org/officeDocument/2006/relationships/hyperlink" Target="https://www.orionprodutoscientificos.com.br/agar-lisina-ferro-lia-frasco-500g-himedia?utm_source=Site&amp;utm_medium=GoogleMerchant&amp;utm_campaign=GoogleMerchant" TargetMode="External"/><Relationship Id="rId55" Type="http://schemas.openxmlformats.org/officeDocument/2006/relationships/hyperlink" Target="https://www.lojalab.com.br/produto_agar-macconkey.--frasco-500-g_1144" TargetMode="External"/><Relationship Id="rId54" Type="http://schemas.openxmlformats.org/officeDocument/2006/relationships/hyperlink" Target="https://jglab.com.br/produto/agar-macconkey-500g/?gclid=Cj0KCQiAmKiQBhClARIsAKtSj-nx_4zt8daNal-xszBBtbKUYmj59wOFaiLKLX_fMBlzpKcwC-8SXQ0aAh1QEALw_wcB" TargetMode="External"/><Relationship Id="rId57" Type="http://schemas.openxmlformats.org/officeDocument/2006/relationships/hyperlink" Target="https://www.lojalab.com.br/produto_agar-mueller-hinton.--frasco-500-g_1147" TargetMode="External"/><Relationship Id="rId56" Type="http://schemas.openxmlformats.org/officeDocument/2006/relationships/hyperlink" Target="https://www.orionprodutoscientificos.com.br/caldo-mac-conkey-frasco-500g-himedia?utm_source=Site&amp;utm_medium=GoogleMerchant&amp;utm_campaign=GoogleMerchant" TargetMode="External"/><Relationship Id="rId59" Type="http://schemas.openxmlformats.org/officeDocument/2006/relationships/hyperlink" Target="https://indavidas.com.br/shop/uncategorized/agar-mueller-hinton-frasco-500g/" TargetMode="External"/><Relationship Id="rId58" Type="http://schemas.openxmlformats.org/officeDocument/2006/relationships/hyperlink" Target="https://www.orionprodutoscientificos.com.br/caldo-mueller-hinton-frasco-500g-himedia?utm_source=Site&amp;utm_medium=GoogleMerchant&amp;utm_campaign=GoogleMerchant" TargetMode="External"/><Relationship Id="rId107" Type="http://schemas.openxmlformats.org/officeDocument/2006/relationships/hyperlink" Target="https://myhexis.com.br/index.php?option=com_movimentacao&amp;op=PROD&amp;task=detalhar&amp;produto_id=HX0178-00007" TargetMode="External"/><Relationship Id="rId228" Type="http://schemas.openxmlformats.org/officeDocument/2006/relationships/hyperlink" Target="https://www.acsreagentes.com.br/fosfato-de-sodio-monobasico-h2o-monohidratado-pa-acs-1kg-acs-cientifica" TargetMode="External"/><Relationship Id="rId349" Type="http://schemas.openxmlformats.org/officeDocument/2006/relationships/hyperlink" Target="https://www.glasslab.com.br/reagentes-e-meios/sulfeto-de-sodio-9h2o-pa-acs-500g?parceiro=6858" TargetMode="External"/><Relationship Id="rId106" Type="http://schemas.openxmlformats.org/officeDocument/2006/relationships/hyperlink" Target="https://www.glasslab.com.br/reagentes-e-meios/alcool-metilico-pa-acs-1l" TargetMode="External"/><Relationship Id="rId227" Type="http://schemas.openxmlformats.org/officeDocument/2006/relationships/hyperlink" Target="https://www.orionprodutoscientificos.com.br/fosfato-de-sodio-monobasico-h2o-pa-acs-1kg-exodo-cientifica?utm_source=Site&amp;utm_medium=GoogleMerchant&amp;utm_campaign=GoogleMerchant" TargetMode="External"/><Relationship Id="rId348" Type="http://schemas.openxmlformats.org/officeDocument/2006/relationships/hyperlink" Target="https://www.didaticasp.com.br/sulfato-de-sodio-anidro-pa-1kg" TargetMode="External"/><Relationship Id="rId105" Type="http://schemas.openxmlformats.org/officeDocument/2006/relationships/hyperlink" Target="https://www.orionprodutoscientificos.com.br/alcool-isopropilico-p-a-1000-ml-fabricante-neon" TargetMode="External"/><Relationship Id="rId226" Type="http://schemas.openxmlformats.org/officeDocument/2006/relationships/hyperlink" Target="https://jglab.com.br/produto/fosfato-de-sodio-bibasico-anidro-pa-acs/?attribute_embalagem=500g&amp;gclid=Cj0KCQiAu62QBhC7ARIsALXijXRHiPblHf1zeRoWjzXIC13DSOzgPR3UpDXkGQrZxAKIeh8q-1l_RJ0aAucuEALw_wcB" TargetMode="External"/><Relationship Id="rId347" Type="http://schemas.openxmlformats.org/officeDocument/2006/relationships/hyperlink" Target="https://www.acsreagentes.com.br/sulfato-de-sodio-anidro-pa-1kg-acs-cientifica" TargetMode="External"/><Relationship Id="rId104" Type="http://schemas.openxmlformats.org/officeDocument/2006/relationships/hyperlink" Target="https://myhexis.com.br/index.php?option=com_movimentacao&amp;op=PROD&amp;task=detalhar&amp;produto_id=HX0178-00004" TargetMode="External"/><Relationship Id="rId225" Type="http://schemas.openxmlformats.org/officeDocument/2006/relationships/hyperlink" Target="https://www.acsreagentes.com.br/fosfato-de-sodio-dibasico-anidro-pa-acs-500g-acs-cientifica" TargetMode="External"/><Relationship Id="rId346" Type="http://schemas.openxmlformats.org/officeDocument/2006/relationships/hyperlink" Target="https://www.google.com/search?q=SULFATO+DE+S%C3%93DIO+ANIDRO+P.A.&amp;sa=X&amp;rlz=1C1ISCS_pt-PTBR945BR945&amp;biw=1280&amp;bih=625&amp;tbm=shop&amp;ei=3nILYtGzOcW_5OUP6MaK2AI&amp;ved=0ahUKEwjRmqmMs4H2AhXFH7kGHWijAisQ4dUDCAY&amp;uact=5&amp;oq=SULFATO+DE+S%C3%93DIO+ANIDRO+P.A.&amp;gs_lcp=Cgtwcm9kdWN0cy1jYxADMggIABCwAxCiBEoECEEYAVCI9w9YiPcPYLv4D2gFcAB4AIABAIgBAJIBAJgBAKABAqABAcgBAcABAQ&amp;sclient=products-cc" TargetMode="External"/><Relationship Id="rId109" Type="http://schemas.openxmlformats.org/officeDocument/2006/relationships/hyperlink" Target="https://www.glasslab.com.br/reagentes-e-meios/alcool-metilico-hplc-1l" TargetMode="External"/><Relationship Id="rId108" Type="http://schemas.openxmlformats.org/officeDocument/2006/relationships/hyperlink" Target="https://www.acsreagentes.com.br/alcool-metilico-pa-acs-1l-acs-cientifica" TargetMode="External"/><Relationship Id="rId229" Type="http://schemas.openxmlformats.org/officeDocument/2006/relationships/hyperlink" Target="https://www.orionprodutoscientificos.com.br/fosfato-de-sodio-monobasico-anidro-98-p-a-1000-g-fabricante-neon?utm_source=Site&amp;utm_medium=GoogleMerchant&amp;utm_campaign=GoogleMerchant" TargetMode="External"/><Relationship Id="rId220" Type="http://schemas.openxmlformats.org/officeDocument/2006/relationships/hyperlink" Target="https://jglab.com.br/produto/fosfato-potassio-monobasico-anidro-pa-acs/?attribute_embalagem=500g&amp;gclid=Cj0KCQiAu62QBhC7ARIsALXijXRQTyRPeOQ0egQSsvHL4tQDwXW_r49CWWsHg4AZxzpphoPidJxC0aMaAjOMEALw_wcB" TargetMode="External"/><Relationship Id="rId341" Type="http://schemas.openxmlformats.org/officeDocument/2006/relationships/hyperlink" Target="https://www.acsreagentes.com.br/sulfato-de-magnesio-7h2o-pa-acs-500g-acs-cientifica?utm_source=Site&amp;utm_medium=GoogleMerchant&amp;utm_campaign=GoogleMerchant" TargetMode="External"/><Relationship Id="rId340" Type="http://schemas.openxmlformats.org/officeDocument/2006/relationships/hyperlink" Target="https://www.orionprodutoscientificos.com.br/sulfato-de-magnesio-seco-h2o-pa-500g-acs-cientifica?utm_source=Site&amp;utm_medium=GoogleMerchant&amp;utm_campaign=GoogleMerchant" TargetMode="External"/><Relationship Id="rId103" Type="http://schemas.openxmlformats.org/officeDocument/2006/relationships/hyperlink" Target="https://www.didaticasp.com.br/alcool-isopropilico-2-propanol-pa-1l" TargetMode="External"/><Relationship Id="rId224" Type="http://schemas.openxmlformats.org/officeDocument/2006/relationships/hyperlink" Target="https://www.orionprodutoscientificos.com.br/fosfato-de-sodio-dibasico-anidro-pa-acs-1kg-exodo-cientifica?utm_source=Site&amp;utm_medium=GoogleMerchant&amp;utm_campaign=GoogleMerchant" TargetMode="External"/><Relationship Id="rId345" Type="http://schemas.openxmlformats.org/officeDocument/2006/relationships/hyperlink" Target="https://www.acsreagentes.com.br/sulfato-de-potassio-pa-acs-500g-acs-cientifica" TargetMode="External"/><Relationship Id="rId102" Type="http://schemas.openxmlformats.org/officeDocument/2006/relationships/hyperlink" Target="https://www.didaticasp.com.br/alcool-isopropilico-uvhplc-espectroscopico-2-propanol-isopropanol-1l" TargetMode="External"/><Relationship Id="rId223" Type="http://schemas.openxmlformats.org/officeDocument/2006/relationships/hyperlink" Target="https://jglab.com.br/produto/fosfato-de-sodio-bibasico-anidro-pa-acs/?attribute_embalagem=500g&amp;gclid=Cj0KCQiAu62QBhC7ARIsALXijXTT4tfUZeIxphafDNLWXi7T34elewVlbn9mflLHH7p9Lew_cNoOzI4aAlwKEALw_wcB" TargetMode="External"/><Relationship Id="rId344" Type="http://schemas.openxmlformats.org/officeDocument/2006/relationships/hyperlink" Target="https://www.orionprodutoscientificos.com.br/sulfato-de-potassio-pa-acs-1kg-acs-cientifica?utm_source=Site&amp;utm_medium=GoogleMerchant&amp;utm_campaign=GoogleMerchant" TargetMode="External"/><Relationship Id="rId101" Type="http://schemas.openxmlformats.org/officeDocument/2006/relationships/hyperlink" Target="https://jglab.com.br/produto/alcool-isopropilico-uv-hplc-espectroscopia-1l/" TargetMode="External"/><Relationship Id="rId222" Type="http://schemas.openxmlformats.org/officeDocument/2006/relationships/hyperlink" Target="https://www.orionprodutoscientificos.com.br/fosfato-de-potassio-monobasico-anidro-pa-acs-diacido-500g-exodo-cientifica?utm_source=Site&amp;utm_medium=GoogleMerchant&amp;utm_campaign=GoogleMerchant" TargetMode="External"/><Relationship Id="rId343" Type="http://schemas.openxmlformats.org/officeDocument/2006/relationships/hyperlink" Target="https://jglab.com.br/produto/sulfato-de-potassio-pa-acs/?attribute_embalagem=500g&amp;gclid=Cj0KCQiAu62QBhC7ARIsALXijXSMDmvcFOvEp9xTIwfO6TjWmOnOFEl4lkKqw3wAiOE5mimDkXfovCkaAvr2EALw_wcB" TargetMode="External"/><Relationship Id="rId100" Type="http://schemas.openxmlformats.org/officeDocument/2006/relationships/hyperlink" Target="https://www.sigmaaldrich.com/BR/pt/product/sigald/34863" TargetMode="External"/><Relationship Id="rId221" Type="http://schemas.openxmlformats.org/officeDocument/2006/relationships/hyperlink" Target="https://www.acsreagentes.com.br/fosfato-de-potassio-monobasico-anidro-pa-acs-diacido-1kg-acs-cientifica?utm_source=Site&amp;utm_medium=GoogleMerchant&amp;utm_campaign=GoogleMerchant" TargetMode="External"/><Relationship Id="rId342" Type="http://schemas.openxmlformats.org/officeDocument/2006/relationships/hyperlink" Target="https://www.glasslab.com.br/reagentes-e-meios/sulfato-de-magnesio-7h2o-pa-acs-500g?parceiro=6858" TargetMode="External"/><Relationship Id="rId217" Type="http://schemas.openxmlformats.org/officeDocument/2006/relationships/hyperlink" Target="https://www.cobasi.com.br/ita-protect-formol-37--05lt-900235034/p?idsku=900229440" TargetMode="External"/><Relationship Id="rId338" Type="http://schemas.openxmlformats.org/officeDocument/2006/relationships/hyperlink" Target="https://www.orionprodutoscientificos.com.br/sulfato-de-ferro-ii-oso-e-amonio6-h2oferroso-amoniacal-pa-500g-acs-cientifica?utm_source=Site&amp;utm_medium=GoogleMerchant&amp;utm_campaign=GoogleMerchant" TargetMode="External"/><Relationship Id="rId216" Type="http://schemas.openxmlformats.org/officeDocument/2006/relationships/hyperlink" Target="https://limpcenter.com/produto/formol-estabilizado-37-5l?utm_source=Google%20Shopping&amp;utm_campaign=LimpCenter&amp;utm_medium=cpc&amp;utm_term=5944" TargetMode="External"/><Relationship Id="rId337" Type="http://schemas.openxmlformats.org/officeDocument/2006/relationships/hyperlink" Target="https://www.acsreagentes.com.br/sulfato-de-ferro-ii-oso-e-amonio6-h2oferroso-amoniacal-pa-1kg-acs-cientifica" TargetMode="External"/><Relationship Id="rId215" Type="http://schemas.openxmlformats.org/officeDocument/2006/relationships/hyperlink" Target="https://jglab.com.br/produto/formaldeido-37-pa-acs/?attribute_embalagem=1L&amp;gclid=Cj0KCQiAmKiQBhClARIsAKtSj-kzW-QwkB6kBlEfOYJ0rvuLdTFUMLAa3D16vS5cvnT_f7HAfxWtZ_0aAohbEALw_wcB" TargetMode="External"/><Relationship Id="rId336" Type="http://schemas.openxmlformats.org/officeDocument/2006/relationships/hyperlink" Target="https://www.orionprodutoscientificos.com.br/sulfato-de-cobre-ii-ico-anidro-pa-250g-acs-cientifica?utm_source=Site&amp;utm_medium=GoogleMerchant&amp;utm_campaign=GoogleMerchant" TargetMode="External"/><Relationship Id="rId214" Type="http://schemas.openxmlformats.org/officeDocument/2006/relationships/hyperlink" Target="https://www.glasslab.com.br/reagentes-e-meios/ferricianeto-de-potassio-pa-acs-500g?parceiro=6858&amp;gclid=Cj0KCQiAu62QBhC7ARIsALXijXRwlu7mnjrM9QZWHNfOGYYdExHR9sLQx-XxEPyxuqP7KwYGQqyThq8aAmvvEALw_wcB" TargetMode="External"/><Relationship Id="rId335" Type="http://schemas.openxmlformats.org/officeDocument/2006/relationships/hyperlink" Target="https://jglab.com.br/produto/sulfato-de-cobre-ii-5h2o-pa-acs/?attribute_embalagem=500g" TargetMode="External"/><Relationship Id="rId219" Type="http://schemas.openxmlformats.org/officeDocument/2006/relationships/hyperlink" Target="https://jglab.com.br/produto/formaldeido-37-pa-acs/?attribute_embalagem=1L" TargetMode="External"/><Relationship Id="rId218" Type="http://schemas.openxmlformats.org/officeDocument/2006/relationships/hyperlink" Target="https://www.orionprodutoscientificos.com.br/formaldeido-pa-acs-1l-acs-cientifica?utm_source=Site&amp;utm_medium=GoogleMerchant&amp;utm_campaign=GoogleMerchant" TargetMode="External"/><Relationship Id="rId339" Type="http://schemas.openxmlformats.org/officeDocument/2006/relationships/hyperlink" Target="https://jglab.com.br/produto/sulfato-de-ferro-ii-e-amonio-6h2o-pa-acs/?attribute_embalagem=250g&amp;gclid=Cj0KCQiAu62QBhC7ARIsALXijXQrY-Uhccv34Y_mmICUVus6saqr__nJQJTMwGwDSIX8jXyMS6uwhTYaAoRsEALw_wcB" TargetMode="External"/><Relationship Id="rId330" Type="http://schemas.openxmlformats.org/officeDocument/2006/relationships/hyperlink" Target="https://www.acsreagentes.com.br/sudan-iii-ci-26100-25g-acs-cientifica?utm_source=Site&amp;utm_medium=GoogleMerchant&amp;utm_campaign=GoogleMerchant" TargetMode="External"/><Relationship Id="rId213" Type="http://schemas.openxmlformats.org/officeDocument/2006/relationships/hyperlink" Target="https://www.precisaoabsoluta.com.br/produto/ferricianeto-de-potassio-pa-acs-fr-250g-marca-acs/" TargetMode="External"/><Relationship Id="rId334" Type="http://schemas.openxmlformats.org/officeDocument/2006/relationships/hyperlink" Target="https://www.acsreagentes.com.br/sulfato-de-cobre-ii-ico-anidro-pa-500g-acs-cientifica?utm_source=Site&amp;utm_medium=GoogleMerchant&amp;utm_campaign=GoogleMerchant" TargetMode="External"/><Relationship Id="rId212" Type="http://schemas.openxmlformats.org/officeDocument/2006/relationships/hyperlink" Target="https://www.lojasynth.com/reagentes-analiticosmaterias-primas/reagentes-analiticosmaterias-primas/ferrocianeto-de-potassio-3h2o-p-a-a-c-s" TargetMode="External"/><Relationship Id="rId333" Type="http://schemas.openxmlformats.org/officeDocument/2006/relationships/hyperlink" Target="https://www.glasslab.com.br/reagentes-e-meios/sulfato-de-aluminio-anidro-pa-500g?parceiro=6858" TargetMode="External"/><Relationship Id="rId211" Type="http://schemas.openxmlformats.org/officeDocument/2006/relationships/hyperlink" Target="https://neoncomercial.com.br/" TargetMode="External"/><Relationship Id="rId332" Type="http://schemas.openxmlformats.org/officeDocument/2006/relationships/hyperlink" Target="https://www.acsreagentes.com.br/sulfato-de-aluminio-anidro-pa-500g-acs-cientifica?utm_source=Site&amp;utm_medium=GoogleMerchant&amp;utm_campaign=GoogleMerchant" TargetMode="External"/><Relationship Id="rId210" Type="http://schemas.openxmlformats.org/officeDocument/2006/relationships/hyperlink" Target="https://myhexis.com.br/index.php?option=com_movimentacao&amp;op=PROD&amp;task=detalhar&amp;produto_id=HX0269-00014" TargetMode="External"/><Relationship Id="rId331" Type="http://schemas.openxmlformats.org/officeDocument/2006/relationships/hyperlink" Target="https://www.glasslab.com.br/reagentes-e-meios/sudan-iii-ci-26100-25g?parceiro=6858" TargetMode="External"/><Relationship Id="rId370" Type="http://schemas.openxmlformats.org/officeDocument/2006/relationships/hyperlink" Target="https://www.acsreagentes.com.br/trealose-d-2-h2o-pa-25g-acs-cientifica?utm_source=Site&amp;utm_medium=GoogleMerchant&amp;utm_campaign=GoogleMerchant" TargetMode="External"/><Relationship Id="rId129" Type="http://schemas.openxmlformats.org/officeDocument/2006/relationships/hyperlink" Target="https://www.orionprodutoscientificos.com.br/bicarbonato-de-sodio-p-a-acs-500-g-fabricante-neon?utm_source=Site&amp;utm_medium=GoogleMerchant&amp;utm_campaign=GoogleMerchant" TargetMode="External"/><Relationship Id="rId128" Type="http://schemas.openxmlformats.org/officeDocument/2006/relationships/hyperlink" Target="https://www.acsreagentes.com.br/bicarbonato-de-sodio-pa-500g-acs-cientifica" TargetMode="External"/><Relationship Id="rId249" Type="http://schemas.openxmlformats.org/officeDocument/2006/relationships/hyperlink" Target="https://www.glasslab.com.br/reagentes-e-meios/hidroquinona-pa-500g?parceiro=6858" TargetMode="External"/><Relationship Id="rId127" Type="http://schemas.openxmlformats.org/officeDocument/2006/relationships/hyperlink" Target="https://www.glasslab.com.br/reagentes-e-meios/bicarbonato-de-sodio-pa-500g?parceiro=6858" TargetMode="External"/><Relationship Id="rId248" Type="http://schemas.openxmlformats.org/officeDocument/2006/relationships/hyperlink" Target="https://www.orionprodutoscientificos.com.br/hexano-n-95-pa-acs-1l-acs-cientifica" TargetMode="External"/><Relationship Id="rId369" Type="http://schemas.openxmlformats.org/officeDocument/2006/relationships/hyperlink" Target="https://www.didaticasp.com.br/tolueno-toluol-pa-1l-pfssp" TargetMode="External"/><Relationship Id="rId126" Type="http://schemas.openxmlformats.org/officeDocument/2006/relationships/hyperlink" Target="https://www.laderquimica.com.br/azul-de-metileno-pa-25g-c-i-52015-neon?utm_source=Site&amp;utm_medium=GoogleMerchant&amp;utm_campaign=GoogleMerchant" TargetMode="External"/><Relationship Id="rId247" Type="http://schemas.openxmlformats.org/officeDocument/2006/relationships/hyperlink" Target="https://www.didaticasp.com.br/hexano-n-95-pa-1l" TargetMode="External"/><Relationship Id="rId368" Type="http://schemas.openxmlformats.org/officeDocument/2006/relationships/hyperlink" Target="https://www.glasslab.com.br/reagentes-e-meios/tolueno-toluol-pa-acs-1l?parceiro=6858" TargetMode="External"/><Relationship Id="rId121" Type="http://schemas.openxmlformats.org/officeDocument/2006/relationships/hyperlink" Target="https://www.biomedh.com.br/007219/azul-de-metila-ci42780--25gr.html" TargetMode="External"/><Relationship Id="rId242" Type="http://schemas.openxmlformats.org/officeDocument/2006/relationships/hyperlink" Target="https://www.acsreagentes.com.br/hematoxilina-ci-75290-25g-acs-cientifica?utm_source=Site&amp;utm_medium=GoogleMerchant&amp;utm_campaign=GoogleMerchant" TargetMode="External"/><Relationship Id="rId363" Type="http://schemas.openxmlformats.org/officeDocument/2006/relationships/hyperlink" Target="https://www.lojasynth.com/reagentes-analiticosmaterias-primas/reagentes-analiticosmaterias-primas/etileno-glicol-1100g-p-a?parceiro=2827" TargetMode="External"/><Relationship Id="rId120" Type="http://schemas.openxmlformats.org/officeDocument/2006/relationships/hyperlink" Target="https://www.dsyslab.com.br/reagentes/azul/azul-bromotimol-p-aacs-cas-76-59-5-neon" TargetMode="External"/><Relationship Id="rId241" Type="http://schemas.openxmlformats.org/officeDocument/2006/relationships/hyperlink" Target="https://www.glasslab.com.br/reagentes-e-meios/hematoxilina-ci-75290-25g?parceiro=6858&amp;gclid=Cj0KCQiAu62QBhC7ARIsALXijXTVJ5bikv4SPZE5o_t132YaDAYgFyQF00EGBX8MqF7-vl2h9e0sxJYaAsIEEALw_wcB" TargetMode="External"/><Relationship Id="rId362" Type="http://schemas.openxmlformats.org/officeDocument/2006/relationships/hyperlink" Target="https://www.glasslab.com.br/reagentes-e-meios/etileno-glicol-mono-etil-eter-pa-1l?parceiro=6858" TargetMode="External"/><Relationship Id="rId240" Type="http://schemas.openxmlformats.org/officeDocument/2006/relationships/hyperlink" Target="https://jglab.com.br/produto/hematoxilina-ci-75290-25g/?gclid=Cj0KCQiAu62QBhC7ARIsALXijXQR0NZ9ZNCuiCQBjFTLMNOF6PFr-P9SPkE99TVaeSHGt_c50EBFkEoaAvDEEALw_wcB" TargetMode="External"/><Relationship Id="rId361" Type="http://schemas.openxmlformats.org/officeDocument/2006/relationships/hyperlink" Target="https://www.google.com/search?q=TETRABORATO+DE+S%C3%93DIO+ANIDRO+P.A.+%28B%C3%93RAX%29&amp;sa=X&amp;rlz=1C1ISCS_pt-PTBR945BR945&amp;biw=1280&amp;bih=625&amp;tbm=shop&amp;ei=02sLYq-UK-Oc5OUP5JyFsAY&amp;ved=0ahUKEwjvybywrIH2AhVjDrkGHWROAWYQ4dUDCAY&amp;uact=5&amp;oq=TETRABORATO+DE+S%C3%93DIO+ANIDRO+P.A.+%28B%C3%93RAX%29&amp;gs_lcp=Cgtwcm9kdWN0cy1jYxADSgQIQRgAUABYAGDZAWgAcAB4AIABAIgBAJIBAJgBAKABAqABAcABAQ&amp;sclient=products-cc" TargetMode="External"/><Relationship Id="rId360" Type="http://schemas.openxmlformats.org/officeDocument/2006/relationships/hyperlink" Target="https://www.glasslab.com.br/reagentes-e-meios/tetraborato-de-sodio-anidro-pa-500g?parceiro=6858" TargetMode="External"/><Relationship Id="rId125" Type="http://schemas.openxmlformats.org/officeDocument/2006/relationships/hyperlink" Target="https://www.glasslab.com.br/reagentes-e-meios/azul-de-metileno-pa-ci-52015-25g?parceiro=6858" TargetMode="External"/><Relationship Id="rId246" Type="http://schemas.openxmlformats.org/officeDocument/2006/relationships/hyperlink" Target="https://jglab.com.br/produto/n-hexano-95-pa-acs-1l/" TargetMode="External"/><Relationship Id="rId367" Type="http://schemas.openxmlformats.org/officeDocument/2006/relationships/hyperlink" Target="https://www.acsreagentes.com.br/tioureia-p-eletrodo-250ml-acs-cientifica" TargetMode="External"/><Relationship Id="rId124" Type="http://schemas.openxmlformats.org/officeDocument/2006/relationships/hyperlink" Target="https://www.acsreagentes.com.br/azul-de-metileno-ci-52015-25g-acs-cientifica" TargetMode="External"/><Relationship Id="rId245" Type="http://schemas.openxmlformats.org/officeDocument/2006/relationships/hyperlink" Target="https://www.casalab.com.br/produtos/70/3421_" TargetMode="External"/><Relationship Id="rId366" Type="http://schemas.openxmlformats.org/officeDocument/2006/relationships/hyperlink" Target="https://www.orionprodutoscientificos.com.br/tioureia-pa-acs-500g-acs-cientifica?utm_source=Site&amp;utm_medium=GoogleMerchant&amp;utm_campaign=GoogleMerchant" TargetMode="External"/><Relationship Id="rId123" Type="http://schemas.openxmlformats.org/officeDocument/2006/relationships/hyperlink" Target="https://www.orionprodutoscientificos.com.br/azul-de-metila-ci-42780-25g-acs-cientifica" TargetMode="External"/><Relationship Id="rId244" Type="http://schemas.openxmlformats.org/officeDocument/2006/relationships/hyperlink" Target="https://www.orionprodutoscientificos.com.br/hematoxilina-harris-500ml-acs-cientifica?utm_source=Site&amp;utm_medium=GoogleMerchant&amp;utm_campaign=GoogleMerchant" TargetMode="External"/><Relationship Id="rId365" Type="http://schemas.openxmlformats.org/officeDocument/2006/relationships/hyperlink" Target="https://jglab.com.br/produto/tioureia-pa-acs-500g/?gclid=Cj0KCQiAu62QBhC7ARIsALXijXSsxZ0if2yNe-39cosT-ENisnBG76PPXOPGh77F4uD3RRgFH2-5bvUaAp8bEALw_wcB" TargetMode="External"/><Relationship Id="rId122" Type="http://schemas.openxmlformats.org/officeDocument/2006/relationships/hyperlink" Target="https://ludwigbiotec.com.br/loja/produto/azul-de-metila-ci-42780-25g/677" TargetMode="External"/><Relationship Id="rId243" Type="http://schemas.openxmlformats.org/officeDocument/2006/relationships/hyperlink" Target="https://www.orionprodutoscientificos.com.br/hematoxilina-harris-500ml-exodo-cientifica?utm_source=Site&amp;utm_medium=GoogleMerchant&amp;utm_campaign=GoogleMerchant" TargetMode="External"/><Relationship Id="rId364" Type="http://schemas.openxmlformats.org/officeDocument/2006/relationships/hyperlink" Target="https://www.lojasynth.com/reagentes-analiticosmaterias-primas/reagentes-analiticosmaterias-primas/etileno-glicol-1100g-p-a?parceiro=2827" TargetMode="External"/><Relationship Id="rId95" Type="http://schemas.openxmlformats.org/officeDocument/2006/relationships/hyperlink" Target="https://www.glasslab.com.br/reagentes-e-meios/alcool-etilico-abs-pa-acs-99-5-1l?parceiro=6858" TargetMode="External"/><Relationship Id="rId94" Type="http://schemas.openxmlformats.org/officeDocument/2006/relationships/hyperlink" Target="https://www.acsreagentes.com.br/alcool-etilico-absoluto-998-pa-acs-5l-acs-cientifica?utm_source=Site&amp;utm_medium=GoogleMerchant&amp;utm_campaign=GoogleMerchant" TargetMode="External"/><Relationship Id="rId97" Type="http://schemas.openxmlformats.org/officeDocument/2006/relationships/hyperlink" Target="https://www.dentalspeed.com/modelo/alcool-prolink-96-1l-prolink-15275" TargetMode="External"/><Relationship Id="rId96" Type="http://schemas.openxmlformats.org/officeDocument/2006/relationships/hyperlink" Target="https://www.orionprodutoscientificos.com.br/alcool-etilico-absoluto-998-pa-acs-1l-frasco-de-vidro-acs-cientifica?utm_source=Site&amp;utm_medium=GoogleMerchant&amp;utm_campaign=GoogleMerchant" TargetMode="External"/><Relationship Id="rId99" Type="http://schemas.openxmlformats.org/officeDocument/2006/relationships/hyperlink" Target="https://www.linhaforte.com/produto/%C3%A1lcool-et%C3%ADlico-96%C2%BA-inpm-1-litro-facilita-audax" TargetMode="External"/><Relationship Id="rId98" Type="http://schemas.openxmlformats.org/officeDocument/2006/relationships/hyperlink" Target="https://www.dentalmaster.com.br/alcool-etilico-hidratado-96----prolink/p?idsku=2008560" TargetMode="External"/><Relationship Id="rId91" Type="http://schemas.openxmlformats.org/officeDocument/2006/relationships/hyperlink" Target="https://www.alecrimessenciaria.com.br/alcool-cereais-96?utm_source=Site&amp;utm_medium=GoogleMerchant&amp;utm_campaign=GoogleMerchant&amp;sku=6ZE3PYTEW-1lt" TargetMode="External"/><Relationship Id="rId90" Type="http://schemas.openxmlformats.org/officeDocument/2006/relationships/hyperlink" Target="https://www.lojaduettosuper.com.br/alcool-liquido-glicerinado-duetto-5-litros-promocao-2101" TargetMode="External"/><Relationship Id="rId93" Type="http://schemas.openxmlformats.org/officeDocument/2006/relationships/hyperlink" Target="https://www.casadosquimicos.com.br/materia-prima/alcool-de-cereais-5l?parceiro=7072" TargetMode="External"/><Relationship Id="rId92" Type="http://schemas.openxmlformats.org/officeDocument/2006/relationships/hyperlink" Target="https://www.casadosquimicos.com.br/materia-prima/alcool-de-cereais-1-l?parceiro=7072" TargetMode="External"/><Relationship Id="rId118" Type="http://schemas.openxmlformats.org/officeDocument/2006/relationships/hyperlink" Target="https://www.acsreagentes.com.br/azul-de-bromotimol-pa-25g-acs-cientifica?utm_source=Site&amp;utm_medium=GoogleMerchant&amp;utm_campaign=GoogleMerchant" TargetMode="External"/><Relationship Id="rId239" Type="http://schemas.openxmlformats.org/officeDocument/2006/relationships/hyperlink" Target="https://jglab.com.br/produto/glicose-anidra-pa-acs-500g/" TargetMode="External"/><Relationship Id="rId117" Type="http://schemas.openxmlformats.org/officeDocument/2006/relationships/hyperlink" Target="https://www.mmcomercio.net.br/produto/azul-cresil-brilhante-1-reticulocitos-100ml-laborclin.html?utm_source=Site&amp;utm_medium=GoogleMerchant&amp;utm_campaign=GoogleMerchant" TargetMode="External"/><Relationship Id="rId238" Type="http://schemas.openxmlformats.org/officeDocument/2006/relationships/hyperlink" Target="https://www.orionprodutoscientificos.com.br/glicose-anidra-dextrose-pa-acs-500g-acs-cientifica?utm_source=Site&amp;utm_medium=GoogleMerchant&amp;utm_campaign=GoogleMerchant" TargetMode="External"/><Relationship Id="rId359" Type="http://schemas.openxmlformats.org/officeDocument/2006/relationships/hyperlink" Target="https://www.orionprodutoscientificos.com.br/tetraborato-de-sodio-anidro-pa-borax-500g-acs-cientifica?utm_source=Site&amp;utm_medium=GoogleMerchant&amp;utm_campaign=GoogleMerchant" TargetMode="External"/><Relationship Id="rId116" Type="http://schemas.openxmlformats.org/officeDocument/2006/relationships/hyperlink" Target="https://www.glasslab.com.br/reagentes-e-meios/azul-de-alcian-ci-74240-pa-10g?parceiro=6858" TargetMode="External"/><Relationship Id="rId237" Type="http://schemas.openxmlformats.org/officeDocument/2006/relationships/hyperlink" Target="https://www.glasslab.com.br/reagentes-e-meios/dextrose-glicose-anidra-pa-acs-500g?parceiro=6858&amp;gclid=Cj0KCQiAu62QBhC7ARIsALXijXSrgrdOZOIp-yQ1x3--2tAse5oIHj680NOeOa18-ywyEqMMjLMgR38aAt9PEALw_wcB" TargetMode="External"/><Relationship Id="rId358" Type="http://schemas.openxmlformats.org/officeDocument/2006/relationships/hyperlink" Target="https://www.acsreagentes.com.br/tetraborato-de-sodio-10h2o-pa-borax-500g-acs-cientifica" TargetMode="External"/><Relationship Id="rId115" Type="http://schemas.openxmlformats.org/officeDocument/2006/relationships/hyperlink" Target="https://jglab.com.br/produto/azul-de-alcian-ci-74240-10g/" TargetMode="External"/><Relationship Id="rId236" Type="http://schemas.openxmlformats.org/officeDocument/2006/relationships/hyperlink" Target="https://www.orionprodutoscientificos.com.br/fucsina-acida-ci-42685-25g-acs-cientifica?utm_source=Site&amp;utm_medium=GoogleMerchant&amp;utm_campaign=GoogleMerchant" TargetMode="External"/><Relationship Id="rId357" Type="http://schemas.openxmlformats.org/officeDocument/2006/relationships/hyperlink" Target="https://www.google.com/search?q=TETRABORATO+DE+S%C3%93DIO+%2810H2O%29+P.A.+ACS+BORAX++++++++&amp;sa=X&amp;rlz=1C1ISCS_pt-PTBR945BR945&amp;biw=1280&amp;bih=625&amp;tbm=shop&amp;ei=o2wLYonPJ_XE5OUPleO2uAg&amp;ved=0ahUKEwjJrNCTrYH2AhV1IrkGHZWxDYcQ4dUDCAY&amp;uact=5&amp;oq=TETRABORATO+DE+S%C3%93DIO+%2810H2O%29+P.A.+ACS+BORAX++++++++&amp;gs_lcp=Cgtwcm9kdWN0cy1jYxADMgUIABCiBEoECEEYAVD26A1Y9ugNYLPvDWgEcAB4AIAB1wGIAdcBkgEDMi0xmAEAoAECoAEBwAEB&amp;sclient=products-cc" TargetMode="External"/><Relationship Id="rId119" Type="http://schemas.openxmlformats.org/officeDocument/2006/relationships/hyperlink" Target="https://www.lojasynth.com/reagentes-analiticosmaterias-primas/reagentes-analiticosmaterias-primas/azul-de-bromotimol-p-a-a-c-s?parceiro=2827" TargetMode="External"/><Relationship Id="rId110" Type="http://schemas.openxmlformats.org/officeDocument/2006/relationships/hyperlink" Target="https://www.didaticasp.com.br/alcool-metilico-uv/hplc-espectroscopico-1l" TargetMode="External"/><Relationship Id="rId231" Type="http://schemas.openxmlformats.org/officeDocument/2006/relationships/hyperlink" Target="https://www.orionprodutoscientificos.com.br/fosfato-de-sodio-tribasico-12h2o-pa-acs-1kg-exodo-cientifica?utm_source=Site&amp;utm_medium=GoogleMerchant&amp;utm_campaign=GoogleMerchant" TargetMode="External"/><Relationship Id="rId352" Type="http://schemas.openxmlformats.org/officeDocument/2006/relationships/hyperlink" Target="https://www.acsreagentes.com.br/sulfito-de-sodio-anidro-pa-500g-acs-cientifica?utm_source=Site&amp;utm_medium=GoogleMerchant&amp;utm_campaign=GoogleMerchant" TargetMode="External"/><Relationship Id="rId230" Type="http://schemas.openxmlformats.org/officeDocument/2006/relationships/hyperlink" Target="https://www.acsreagentes.com.br/fosfato-de-sodio-monobasico-anidro-pa-500g-acs-cientifica" TargetMode="External"/><Relationship Id="rId351" Type="http://schemas.openxmlformats.org/officeDocument/2006/relationships/hyperlink" Target="https://www.glasslab.com.br/reagentes-e-meios/sulfito-de-sodio-anidro-pa-500g?parceiro=6858&amp;gclid=Cj0KCQiAu62QBhC7ARIsALXijXRKRfPPF-nq1ty31bnIth6yAqUZVsrs1rxwnwip16-k1WF6zPNfufYaAlXGEALw_wcB" TargetMode="External"/><Relationship Id="rId350" Type="http://schemas.openxmlformats.org/officeDocument/2006/relationships/hyperlink" Target="https://www.orionprodutoscientificos.com.br/sulfito-de-sodio-anidro-pa-1kg-acs-cientifica?utm_source=Site&amp;utm_medium=GoogleMerchant&amp;utm_campaign=GoogleMerchant" TargetMode="External"/><Relationship Id="rId114" Type="http://schemas.openxmlformats.org/officeDocument/2006/relationships/hyperlink" Target="https://www.orionprodutoscientificos.com.br/azul-de-alcian-alcian-blue-ci-74240-10g-exodo-cientifica?utm_source=Site&amp;utm_medium=GoogleMerchant&amp;utm_campaign=GoogleMerchant" TargetMode="External"/><Relationship Id="rId235" Type="http://schemas.openxmlformats.org/officeDocument/2006/relationships/hyperlink" Target="https://www.glasslab.com.br/reagentes-e-meios/fucsina-acida-ci-42685-25g?parceiro=6858&amp;gclid=Cj0KCQiAu62QBhC7ARIsALXijXR8vTm_U-eG0D_bgsNh9P5MttViARqPVmMSP3yJiI5pN1XmuMkWz6oaAuK0EALw_wcB" TargetMode="External"/><Relationship Id="rId356" Type="http://schemas.openxmlformats.org/officeDocument/2006/relationships/hyperlink" Target="https://www.glasslab.com.br/reagentes-e-meios/tetraborato-de-sodio-10h2o-borax-pa-500g?parceiro=6858&amp;gclid=Cj0KCQiAu62QBhC7ARIsALXijXS9vgfj33suZry-7YA1NywkqyHIYYOWRFqHrGwRoyNO-B0C08bw1y8aAnCbEALw_wcB" TargetMode="External"/><Relationship Id="rId113" Type="http://schemas.openxmlformats.org/officeDocument/2006/relationships/hyperlink" Target="https://jglab.com.br/produto/amido-soluvel-pa-acs-500g/" TargetMode="External"/><Relationship Id="rId234" Type="http://schemas.openxmlformats.org/officeDocument/2006/relationships/hyperlink" Target="https://jglab.com.br/produto/fucsina-acida-ci-42685-25g/?gclid=Cj0KCQiAu62QBhC7ARIsALXijXT4yk9UtLicndPmnMVOXBNKv0psoQUyTxY_YqtSwBeaejAQU8ETktwaAvrJEALw_wcB" TargetMode="External"/><Relationship Id="rId355" Type="http://schemas.openxmlformats.org/officeDocument/2006/relationships/hyperlink" Target="https://www.glasslab.com.br/reagentes-e-meios/tartarato-de-sodio-e-potassio-pa-acs-1kg?parceiro=6858" TargetMode="External"/><Relationship Id="rId112" Type="http://schemas.openxmlformats.org/officeDocument/2006/relationships/hyperlink" Target="https://www.orionprodutoscientificos.com.br/amido-soluvel-pa-acs-500g-exodo-cientifica?utm_source=Site&amp;utm_medium=GoogleMerchant&amp;utm_campaign=GoogleMerchant" TargetMode="External"/><Relationship Id="rId233" Type="http://schemas.openxmlformats.org/officeDocument/2006/relationships/hyperlink" Target="https://www.glasslab.com.br/reagentes-e-meios/fosfato-de-sodio-bb-12h2o-pa-1kg?parceiro=6858" TargetMode="External"/><Relationship Id="rId354" Type="http://schemas.openxmlformats.org/officeDocument/2006/relationships/hyperlink" Target="https://www.acsreagentes.com.br/tartarato-de-sodio-e-potassio-4h2o-pa-acs-500g-acs-cientifica" TargetMode="External"/><Relationship Id="rId111" Type="http://schemas.openxmlformats.org/officeDocument/2006/relationships/hyperlink" Target="https://jglab.com.br/produto/alcool-metilico-uv-hplc-espectroscopia-1l/" TargetMode="External"/><Relationship Id="rId232" Type="http://schemas.openxmlformats.org/officeDocument/2006/relationships/hyperlink" Target="https://www.acsreagentes.com.br/fosfato-de-sodio-tribasico-12h2o-pa-acs-500g-acs-cientifica" TargetMode="External"/><Relationship Id="rId353" Type="http://schemas.openxmlformats.org/officeDocument/2006/relationships/hyperlink" Target="https://jglab.com.br/produto/tartarato-de-sodio-e-potassio-4h2o-pa/?attribute_embalagem=1kg&amp;gclid=Cj0KCQiAu62QBhC7ARIsALXijXQUW67wEOT9NOEf0C0Q3B4ZDRdO3INRDyEjaW-Afr05IqSOdaOZMgcaAgDJEALw_wcB" TargetMode="External"/><Relationship Id="rId305" Type="http://schemas.openxmlformats.org/officeDocument/2006/relationships/hyperlink" Target="https://www.glasslab.com.br/reagentes-e-meios/permanganato-de-potassio-pa-acs-1kg?parceiro=6858&amp;gclid=Cj0KCQiAu62QBhC7ARIsALXijXThVs4prkyJKTzAOsQW6gfMfdUNrqoBafdHuMhpk1gaTfvaxrhpSGQaAu3ZEALw_wcB" TargetMode="External"/><Relationship Id="rId304" Type="http://schemas.openxmlformats.org/officeDocument/2006/relationships/hyperlink" Target="https://www.orionprodutoscientificos.com.br/parafina-histologica-58-62-2kg-exodo-cientifica?utm_source=Site&amp;utm_medium=GoogleMerchant&amp;utm_campaign=GoogleMerchant" TargetMode="External"/><Relationship Id="rId303" Type="http://schemas.openxmlformats.org/officeDocument/2006/relationships/hyperlink" Target="https://www.lojasynth.com/reagentes-analiticosmaterias-primas/reagentes-analiticosmaterias-primas/parafina-58-62-granulada?parceiro=2827" TargetMode="External"/><Relationship Id="rId302" Type="http://schemas.openxmlformats.org/officeDocument/2006/relationships/hyperlink" Target="https://www.sigmaaldrich.com/BR/pt/product/aldrich/151890" TargetMode="External"/><Relationship Id="rId309" Type="http://schemas.openxmlformats.org/officeDocument/2006/relationships/hyperlink" Target="https://jglab.com.br/produto/peroxido-de-hidrogenio-frasco-plastico-35-130-volumes-pa-1l/?gclid=Cj0KCQiAu62QBhC7ARIsALXijXTTAEeEO7ocsNIQ6jFi6Wgp5sgE2amQwCxnhhY6lT-HOiHUMBpG29IaAivbEALw_wcB" TargetMode="External"/><Relationship Id="rId308" Type="http://schemas.openxmlformats.org/officeDocument/2006/relationships/hyperlink" Target="https://www.acsreagentes.com.br/peroxido-de-hidrogenio-35-130-vol-agua-oxigenada-pa-1l-acs-cientifica?utm_source=Site&amp;utm_medium=GoogleMerchant&amp;utm_campaign=GoogleMerchant" TargetMode="External"/><Relationship Id="rId307" Type="http://schemas.openxmlformats.org/officeDocument/2006/relationships/hyperlink" Target="https://www.glasslab.com.br/reagentes-e-meios/peroxido-de-hidrogenio-35-130v-pa-1l?parceiro=6858" TargetMode="External"/><Relationship Id="rId306" Type="http://schemas.openxmlformats.org/officeDocument/2006/relationships/hyperlink" Target="https://www.didaticasp.com.br/permanganato-de-potassio-pa-1kg-pfssp" TargetMode="External"/><Relationship Id="rId301" Type="http://schemas.openxmlformats.org/officeDocument/2006/relationships/hyperlink" Target="https://www.glasslab.com.br/reagentes-e-meios/oxido-de-calcio-pa-500g?parceiro=6858" TargetMode="External"/><Relationship Id="rId300" Type="http://schemas.openxmlformats.org/officeDocument/2006/relationships/hyperlink" Target="https://jglab.com.br/produto/oxido-de-calcio-pa-500g/" TargetMode="External"/><Relationship Id="rId415" Type="http://schemas.openxmlformats.org/officeDocument/2006/relationships/hyperlink" Target="https://lojainterprise.com.br/produtos/marcas/fisher-scientific/d-sucrose-p-biologia-molecular-99-9-sacarose-25kg/" TargetMode="External"/><Relationship Id="rId414" Type="http://schemas.openxmlformats.org/officeDocument/2006/relationships/hyperlink" Target="https://www.sigmaaldrich.com/BR/pt/product/aldrich/576832" TargetMode="External"/><Relationship Id="rId413" Type="http://schemas.openxmlformats.org/officeDocument/2006/relationships/hyperlink" Target="https://www.sigmaaldrich.com/BR/pt/product/aldrich/741949" TargetMode="External"/><Relationship Id="rId412" Type="http://schemas.openxmlformats.org/officeDocument/2006/relationships/hyperlink" Target="https://www.sigmaaldrich.com/BR/pt/product/aldrich/741957" TargetMode="External"/><Relationship Id="rId417" Type="http://schemas.openxmlformats.org/officeDocument/2006/relationships/drawing" Target="../drawings/drawing1.xml"/><Relationship Id="rId416" Type="http://schemas.openxmlformats.org/officeDocument/2006/relationships/hyperlink" Target="https://pt.vwr.com/store/product/2340137/d-sacarose-99-9-by-hplc-ultra-puro-bioreagent-for-density-gradient-ultracentrifugation-para-biologia-molecular-j-t-baker" TargetMode="External"/><Relationship Id="rId411" Type="http://schemas.openxmlformats.org/officeDocument/2006/relationships/hyperlink" Target="https://www.lojaretapol.com.br/resinas/poliuretano-liquido-p-expansao-kit-c-2kg-a-b-retafoam?parceiro=3180" TargetMode="External"/><Relationship Id="rId410" Type="http://schemas.openxmlformats.org/officeDocument/2006/relationships/hyperlink" Target="https://www.sigmaaldrich.com/BR/pt/product/sigma/p4557" TargetMode="External"/><Relationship Id="rId206" Type="http://schemas.openxmlformats.org/officeDocument/2006/relationships/hyperlink" Target="https://www.acsreagentes.com.br/eter-de-petroleo-30-60-pa-acs-1l-acs-cientifica?utm_source=Site&amp;utm_medium=GoogleMerchant&amp;utm_campaign=GoogleMerchant" TargetMode="External"/><Relationship Id="rId327" Type="http://schemas.openxmlformats.org/officeDocument/2006/relationships/hyperlink" Target="https://www.orionprodutoscientificos.com.br/silicato-de-sodio-puro-500g-exodo-cientifica?utm_source=Site&amp;utm_medium=GoogleMerchant&amp;utm_campaign=GoogleMerchant" TargetMode="External"/><Relationship Id="rId205" Type="http://schemas.openxmlformats.org/officeDocument/2006/relationships/hyperlink" Target="https://www.orionprodutoscientificos.com.br/eosina-amarelada-sal-dissodico-p-a-acs-c-i-45380-25-g-fabricante-neon?utm_source=Site&amp;utm_medium=GoogleMerchant&amp;utm_campaign=GoogleMerchant" TargetMode="External"/><Relationship Id="rId326" Type="http://schemas.openxmlformats.org/officeDocument/2006/relationships/hyperlink" Target="https://www.acsreagentes.com.br/silicato-de-sodio-puro-500g-acs-cientifica" TargetMode="External"/><Relationship Id="rId204" Type="http://schemas.openxmlformats.org/officeDocument/2006/relationships/hyperlink" Target="https://www.lojasynth.com/reagentes-analiticosmaterias-primas/reagentes-analiticosmaterias-primas/eosina-amarelada-p-a-ci-45380?parceiro=2827" TargetMode="External"/><Relationship Id="rId325" Type="http://schemas.openxmlformats.org/officeDocument/2006/relationships/hyperlink" Target="https://www.orionprodutoscientificos.com.br/silica-gel-azul-1-4mm-p-a-500-g-fabricante-neon?utm_source=Site&amp;utm_medium=GoogleMerchant&amp;utm_campaign=GoogleMerchant" TargetMode="External"/><Relationship Id="rId203" Type="http://schemas.openxmlformats.org/officeDocument/2006/relationships/hyperlink" Target="https://www.glasslab.com.br/reagentes-e-meios/eosina-amarelada-y-ci-45380-25g?parceiro=6858" TargetMode="External"/><Relationship Id="rId324" Type="http://schemas.openxmlformats.org/officeDocument/2006/relationships/hyperlink" Target="https://www.acsreagentes.com.br/silicagel-azul-4-8mm-pa-500g-acs-cientifica" TargetMode="External"/><Relationship Id="rId209" Type="http://schemas.openxmlformats.org/officeDocument/2006/relationships/hyperlink" Target="https://www.biomedh.com.br/008119/eter-etilico-pa-acs-1000ml.html" TargetMode="External"/><Relationship Id="rId208" Type="http://schemas.openxmlformats.org/officeDocument/2006/relationships/hyperlink" Target="https://www.didaticasp.com.br/eter-de-petroleo-30-60-pa-acs-1l" TargetMode="External"/><Relationship Id="rId329" Type="http://schemas.openxmlformats.org/officeDocument/2006/relationships/hyperlink" Target="https://jglab.com.br/produto/sudam-iii-ci-26100-laranja-avermelhado-25g/" TargetMode="External"/><Relationship Id="rId207" Type="http://schemas.openxmlformats.org/officeDocument/2006/relationships/hyperlink" Target="https://myhexis.com.br/index.php?option=com_movimentacao&amp;op=PROD&amp;task=detalhar&amp;produto_id=HX0179-00006" TargetMode="External"/><Relationship Id="rId328" Type="http://schemas.openxmlformats.org/officeDocument/2006/relationships/hyperlink" Target="https://jglab.com.br/produto/silicato-de-sodio-puro-500g/" TargetMode="External"/><Relationship Id="rId202" Type="http://schemas.openxmlformats.org/officeDocument/2006/relationships/hyperlink" Target="https://www.orionprodutoscientificos.com.br/eosina-amarelada-y-solucao-5-alcoolica-1l-acs-cientifica" TargetMode="External"/><Relationship Id="rId323" Type="http://schemas.openxmlformats.org/officeDocument/2006/relationships/hyperlink" Target="https://www.laderquimica.com.br/silica-gel-azul-4-a-8mm-pa-500g-neon?utm_source=Site&amp;utm_medium=GoogleMerchant&amp;utm_campaign=GoogleMerchant" TargetMode="External"/><Relationship Id="rId201" Type="http://schemas.openxmlformats.org/officeDocument/2006/relationships/hyperlink" Target="https://www.casalab.com.br/produtos/98/13566_" TargetMode="External"/><Relationship Id="rId322" Type="http://schemas.openxmlformats.org/officeDocument/2006/relationships/hyperlink" Target="https://www.glasslab.com.br/reagentes-e-meios/selenito-de-sodio-anidro-pa-100g?parceiro=6858" TargetMode="External"/><Relationship Id="rId200" Type="http://schemas.openxmlformats.org/officeDocument/2006/relationships/hyperlink" Target="https://www.acsreagentes.com.br/eosina-amarelada-y-solucao-05-alcoolica-1l-acs-cientifica?utm_source=Site&amp;utm_medium=GoogleMerchant&amp;utm_campaign=GoogleMerchant" TargetMode="External"/><Relationship Id="rId321" Type="http://schemas.openxmlformats.org/officeDocument/2006/relationships/hyperlink" Target="https://www.acsreagentes.com.br/selenito-de-sodio-anidro-pa-100g-acs-cientifica?utm_source=Site&amp;utm_medium=GoogleMerchant&amp;utm_campaign=GoogleMerchant" TargetMode="External"/><Relationship Id="rId320" Type="http://schemas.openxmlformats.org/officeDocument/2006/relationships/hyperlink" Target="https://www.orionprodutoscientificos.com.br/selenito-de-sodio-anidro-pa-100g-acs-cientifica?utm_source=Site&amp;utm_medium=GoogleMerchant&amp;utm_campaign=GoogleMerchant" TargetMode="External"/><Relationship Id="rId316" Type="http://schemas.openxmlformats.org/officeDocument/2006/relationships/hyperlink" Target="https://www.orionprodutoscientificos.com.br/reativo-folin-ciocalteau-500ml-exodo-cientifica?utm_source=Site&amp;utm_medium=GoogleMerchant&amp;utm_campaign=GoogleMerchant" TargetMode="External"/><Relationship Id="rId315" Type="http://schemas.openxmlformats.org/officeDocument/2006/relationships/hyperlink" Target="https://www.glasslab.com.br/reagentes-e-meios/folin-ciocalteu-fenol-2m-500ml?parceiro=6858" TargetMode="External"/><Relationship Id="rId314" Type="http://schemas.openxmlformats.org/officeDocument/2006/relationships/hyperlink" Target="https://www.acsreagentes.com.br/reativo-folin-ciocalteau-2n-100ml-acs-cientifica" TargetMode="External"/><Relationship Id="rId313" Type="http://schemas.openxmlformats.org/officeDocument/2006/relationships/hyperlink" Target="https://www.acsreagentes.com.br/reativo-de-bradford-500ml-acs-cientifica?utm_source=Site&amp;utm_medium=GoogleMerchant&amp;utm_campaign=GoogleMerchant" TargetMode="External"/><Relationship Id="rId319" Type="http://schemas.openxmlformats.org/officeDocument/2006/relationships/hyperlink" Target="https://www.laderquimica.com.br/sacarose-pa-1kg-neon?utm_source=Site&amp;utm_medium=GoogleMerchant&amp;utm_campaign=GoogleMerchant" TargetMode="External"/><Relationship Id="rId318" Type="http://schemas.openxmlformats.org/officeDocument/2006/relationships/hyperlink" Target="https://www.glasslab.com.br/reagentes-e-meios/sacarose-sucrose-pa-acs-1kg?parceiro=6858" TargetMode="External"/><Relationship Id="rId317" Type="http://schemas.openxmlformats.org/officeDocument/2006/relationships/hyperlink" Target="https://www.orionprodutoscientificos.com.br/sacarose-sucrose-pa-acs-1kg-acs-cientifica?utm_source=Site&amp;utm_medium=GoogleMerchant&amp;utm_campaign=GoogleMerchant" TargetMode="External"/><Relationship Id="rId312" Type="http://schemas.openxmlformats.org/officeDocument/2006/relationships/hyperlink" Target="https://www.glasslab.com.br/reagentes-e-meios/preto-de-eriocromo-t-ci-14645-pa-acs-25g?parceiro=6858" TargetMode="External"/><Relationship Id="rId311" Type="http://schemas.openxmlformats.org/officeDocument/2006/relationships/hyperlink" Target="https://www.laderquimica.com.br/preto-de-eriocromo-t-pa-25g-neon?utm_source=Site&amp;utm_medium=GoogleMerchant&amp;utm_campaign=GoogleMerchant" TargetMode="External"/><Relationship Id="rId310" Type="http://schemas.openxmlformats.org/officeDocument/2006/relationships/hyperlink" Target="https://jglab.com.br/produto/preto-de-eriocromo-t-ci-14645-pa-acs/?attribute_embalagem=25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5.0" ySplit="1.0" topLeftCell="F2" activePane="bottomRight" state="frozen"/>
      <selection activeCell="F1" sqref="F1" pane="topRight"/>
      <selection activeCell="A2" sqref="A2" pane="bottomLeft"/>
      <selection activeCell="F2" sqref="F2" pane="bottomRight"/>
    </sheetView>
  </sheetViews>
  <sheetFormatPr customHeight="1" defaultColWidth="12.63" defaultRowHeight="15.75"/>
  <cols>
    <col customWidth="1" min="1" max="1" width="11.38"/>
    <col customWidth="1" min="3" max="3" width="20.5"/>
    <col customWidth="1" min="4" max="4" width="32.13"/>
    <col customWidth="1" min="8" max="8" width="14.38"/>
    <col customWidth="1" min="9" max="10" width="12.25"/>
    <col customWidth="1" min="11" max="11" width="11.75"/>
    <col customWidth="1" min="12" max="12" width="9.13"/>
    <col customWidth="1" min="13" max="15" width="13.5"/>
    <col customWidth="1" min="16" max="16" width="14.25"/>
    <col customWidth="1" min="17" max="17" width="19.0"/>
    <col customWidth="1" min="18" max="18" width="16.0"/>
    <col customWidth="1" min="19" max="19" width="13.13"/>
    <col customWidth="1" min="20" max="20" width="14.0"/>
    <col customWidth="1" min="25" max="26" width="15.75"/>
    <col customWidth="1" min="27" max="27" width="15.5"/>
    <col customWidth="1" min="28" max="28" width="10.75"/>
    <col customWidth="1" min="31" max="31" width="14.5"/>
    <col customWidth="1" min="34" max="34" width="8.38"/>
  </cols>
  <sheetData>
    <row r="1" ht="44.25" customHeight="1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5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6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7" t="s">
        <v>37</v>
      </c>
      <c r="AM1" s="7" t="s">
        <v>38</v>
      </c>
      <c r="AN1" s="2" t="s">
        <v>39</v>
      </c>
      <c r="AO1" s="2" t="s">
        <v>40</v>
      </c>
      <c r="AP1" s="2" t="s">
        <v>41</v>
      </c>
      <c r="AQ1" s="8" t="s">
        <v>42</v>
      </c>
      <c r="AR1" s="9" t="s">
        <v>43</v>
      </c>
      <c r="AS1" s="2" t="s">
        <v>44</v>
      </c>
      <c r="AT1" s="8" t="s">
        <v>45</v>
      </c>
      <c r="AU1" s="9" t="s">
        <v>46</v>
      </c>
      <c r="AV1" s="2" t="s">
        <v>47</v>
      </c>
      <c r="AW1" s="8" t="s">
        <v>48</v>
      </c>
      <c r="AX1" s="9" t="s">
        <v>49</v>
      </c>
      <c r="AY1" s="2" t="s">
        <v>50</v>
      </c>
      <c r="AZ1" s="7" t="s">
        <v>51</v>
      </c>
    </row>
    <row r="2">
      <c r="A2" s="10">
        <v>1.0</v>
      </c>
      <c r="B2" s="11">
        <v>2.1000000003E10</v>
      </c>
      <c r="C2" s="12" t="s">
        <v>52</v>
      </c>
      <c r="D2" s="13" t="s">
        <v>53</v>
      </c>
      <c r="E2" s="11" t="s">
        <v>54</v>
      </c>
      <c r="F2" s="14">
        <v>353821.0</v>
      </c>
      <c r="G2" s="15">
        <f t="shared" ref="G2:G77" si="1">SUM(H2:AJ2)</f>
        <v>7000</v>
      </c>
      <c r="H2" s="15"/>
      <c r="I2" s="16"/>
      <c r="J2" s="16">
        <v>1000.0</v>
      </c>
      <c r="K2" s="11">
        <f>4000+2000</f>
        <v>6000</v>
      </c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7">
        <f t="shared" ref="AL2:AL178" si="2">AZ2*0.7</f>
        <v>0.07233333333</v>
      </c>
      <c r="AM2" s="17">
        <f t="shared" ref="AM2:AM178" si="3">AZ2*1.3</f>
        <v>0.1343333333</v>
      </c>
      <c r="AN2" s="11" t="s">
        <v>55</v>
      </c>
      <c r="AO2" s="11" t="s">
        <v>1</v>
      </c>
      <c r="AP2" s="11" t="s">
        <v>56</v>
      </c>
      <c r="AQ2" s="18">
        <v>0.13</v>
      </c>
      <c r="AR2" s="19" t="s">
        <v>57</v>
      </c>
      <c r="AS2" s="20">
        <v>44603.0</v>
      </c>
      <c r="AT2" s="18">
        <v>0.08</v>
      </c>
      <c r="AU2" s="19" t="s">
        <v>58</v>
      </c>
      <c r="AV2" s="20">
        <v>44603.0</v>
      </c>
      <c r="AW2" s="18">
        <v>0.1</v>
      </c>
      <c r="AX2" s="19" t="s">
        <v>59</v>
      </c>
      <c r="AY2" s="20">
        <v>44603.0</v>
      </c>
      <c r="AZ2" s="17">
        <f t="shared" ref="AZ2:AZ3" si="4">AVERAGE(AW2,AQ2,AT2)</f>
        <v>0.1033333333</v>
      </c>
    </row>
    <row r="3">
      <c r="A3" s="10">
        <v>2.0</v>
      </c>
      <c r="B3" s="11">
        <v>2.1000000005E10</v>
      </c>
      <c r="C3" s="12" t="s">
        <v>60</v>
      </c>
      <c r="D3" s="13" t="s">
        <v>61</v>
      </c>
      <c r="E3" s="11" t="s">
        <v>62</v>
      </c>
      <c r="F3" s="14">
        <v>380787.0</v>
      </c>
      <c r="G3" s="15">
        <f t="shared" si="1"/>
        <v>30</v>
      </c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21">
        <v>30.0</v>
      </c>
      <c r="AB3" s="15"/>
      <c r="AC3" s="15"/>
      <c r="AD3" s="15"/>
      <c r="AE3" s="15"/>
      <c r="AF3" s="15"/>
      <c r="AG3" s="15"/>
      <c r="AH3" s="15"/>
      <c r="AI3" s="15"/>
      <c r="AJ3" s="15"/>
      <c r="AK3" s="11" t="s">
        <v>63</v>
      </c>
      <c r="AL3" s="17">
        <f t="shared" si="2"/>
        <v>127.2495</v>
      </c>
      <c r="AM3" s="17">
        <f t="shared" si="3"/>
        <v>236.3205</v>
      </c>
      <c r="AN3" s="11" t="s">
        <v>55</v>
      </c>
      <c r="AO3" s="11" t="s">
        <v>1</v>
      </c>
      <c r="AP3" s="11" t="s">
        <v>56</v>
      </c>
      <c r="AQ3" s="18">
        <v>176.59</v>
      </c>
      <c r="AR3" s="22" t="s">
        <v>64</v>
      </c>
      <c r="AS3" s="20">
        <v>44603.0</v>
      </c>
      <c r="AT3" s="18">
        <v>186.98</v>
      </c>
      <c r="AU3" s="19" t="s">
        <v>65</v>
      </c>
      <c r="AV3" s="20">
        <v>44603.0</v>
      </c>
      <c r="AW3" s="23"/>
      <c r="AX3" s="24"/>
      <c r="AY3" s="15"/>
      <c r="AZ3" s="17">
        <f t="shared" si="4"/>
        <v>181.785</v>
      </c>
    </row>
    <row r="4">
      <c r="A4" s="10">
        <v>3.0</v>
      </c>
      <c r="B4" s="11">
        <v>2.1000000508E10</v>
      </c>
      <c r="C4" s="12" t="s">
        <v>66</v>
      </c>
      <c r="D4" s="13" t="s">
        <v>67</v>
      </c>
      <c r="E4" s="11" t="s">
        <v>62</v>
      </c>
      <c r="F4" s="14">
        <v>345904.0</v>
      </c>
      <c r="G4" s="15">
        <f t="shared" si="1"/>
        <v>5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21">
        <v>5.0</v>
      </c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1" t="s">
        <v>63</v>
      </c>
      <c r="AL4" s="17">
        <f t="shared" si="2"/>
        <v>39.305</v>
      </c>
      <c r="AM4" s="17">
        <f t="shared" si="3"/>
        <v>72.995</v>
      </c>
      <c r="AN4" s="11" t="s">
        <v>55</v>
      </c>
      <c r="AO4" s="11" t="s">
        <v>1</v>
      </c>
      <c r="AP4" s="11" t="s">
        <v>56</v>
      </c>
      <c r="AQ4" s="25"/>
      <c r="AR4" s="24"/>
      <c r="AS4" s="25"/>
      <c r="AT4" s="23"/>
      <c r="AU4" s="24"/>
      <c r="AV4" s="15"/>
      <c r="AW4" s="23"/>
      <c r="AX4" s="24"/>
      <c r="AY4" s="15"/>
      <c r="AZ4" s="17">
        <f t="shared" ref="AZ4:AZ5" si="5">AVERAGE(AW4,AQ5,AT4)</f>
        <v>56.15</v>
      </c>
    </row>
    <row r="5">
      <c r="A5" s="10">
        <v>4.0</v>
      </c>
      <c r="B5" s="11">
        <v>2.1000000009E10</v>
      </c>
      <c r="C5" s="12" t="s">
        <v>68</v>
      </c>
      <c r="D5" s="13" t="s">
        <v>69</v>
      </c>
      <c r="E5" s="11" t="s">
        <v>62</v>
      </c>
      <c r="F5" s="14">
        <v>380786.0</v>
      </c>
      <c r="G5" s="15">
        <f t="shared" si="1"/>
        <v>63</v>
      </c>
      <c r="H5" s="15"/>
      <c r="I5" s="15"/>
      <c r="J5" s="15"/>
      <c r="K5" s="15"/>
      <c r="L5" s="11">
        <v>2.0</v>
      </c>
      <c r="M5" s="15"/>
      <c r="N5" s="15"/>
      <c r="O5" s="15"/>
      <c r="P5" s="15"/>
      <c r="Q5" s="15"/>
      <c r="R5" s="21">
        <v>5.0</v>
      </c>
      <c r="S5" s="15"/>
      <c r="T5" s="15"/>
      <c r="U5" s="15"/>
      <c r="V5" s="15"/>
      <c r="W5" s="15"/>
      <c r="X5" s="15"/>
      <c r="Y5" s="15"/>
      <c r="Z5" s="15"/>
      <c r="AA5" s="15"/>
      <c r="AB5" s="11">
        <v>1.0</v>
      </c>
      <c r="AC5" s="15">
        <v>1.0</v>
      </c>
      <c r="AD5" s="15"/>
      <c r="AE5" s="11">
        <v>6.0</v>
      </c>
      <c r="AF5" s="11"/>
      <c r="AG5" s="11">
        <v>15.0</v>
      </c>
      <c r="AH5" s="15"/>
      <c r="AI5" s="11">
        <v>13.0</v>
      </c>
      <c r="AJ5" s="11">
        <v>20.0</v>
      </c>
      <c r="AK5" s="11" t="s">
        <v>63</v>
      </c>
      <c r="AL5" s="17">
        <f t="shared" si="2"/>
        <v>40.76625</v>
      </c>
      <c r="AM5" s="17">
        <f t="shared" si="3"/>
        <v>75.70875</v>
      </c>
      <c r="AN5" s="11" t="s">
        <v>55</v>
      </c>
      <c r="AO5" s="11" t="s">
        <v>1</v>
      </c>
      <c r="AP5" s="11" t="s">
        <v>56</v>
      </c>
      <c r="AQ5" s="18">
        <v>56.15</v>
      </c>
      <c r="AR5" s="22" t="s">
        <v>70</v>
      </c>
      <c r="AS5" s="20">
        <v>44603.0</v>
      </c>
      <c r="AT5" s="23"/>
      <c r="AU5" s="24"/>
      <c r="AV5" s="15"/>
      <c r="AW5" s="23"/>
      <c r="AX5" s="24"/>
      <c r="AY5" s="15"/>
      <c r="AZ5" s="17">
        <f t="shared" si="5"/>
        <v>58.2375</v>
      </c>
    </row>
    <row r="6">
      <c r="A6" s="10">
        <v>5.0</v>
      </c>
      <c r="B6" s="11">
        <v>2.1000000011E10</v>
      </c>
      <c r="C6" s="12" t="s">
        <v>71</v>
      </c>
      <c r="D6" s="13" t="s">
        <v>72</v>
      </c>
      <c r="E6" s="11" t="s">
        <v>73</v>
      </c>
      <c r="F6" s="14">
        <v>347148.0</v>
      </c>
      <c r="G6" s="15">
        <f t="shared" si="1"/>
        <v>6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6">
        <v>6.0</v>
      </c>
      <c r="AF6" s="15"/>
      <c r="AG6" s="15"/>
      <c r="AH6" s="15"/>
      <c r="AI6" s="15"/>
      <c r="AJ6" s="15"/>
      <c r="AK6" s="15"/>
      <c r="AL6" s="17">
        <f t="shared" si="2"/>
        <v>62.391</v>
      </c>
      <c r="AM6" s="17">
        <f t="shared" si="3"/>
        <v>115.869</v>
      </c>
      <c r="AN6" s="11" t="s">
        <v>55</v>
      </c>
      <c r="AO6" s="11" t="s">
        <v>1</v>
      </c>
      <c r="AP6" s="11" t="s">
        <v>56</v>
      </c>
      <c r="AQ6" s="23">
        <f>232.95/4</f>
        <v>58.2375</v>
      </c>
      <c r="AR6" s="22" t="s">
        <v>74</v>
      </c>
      <c r="AS6" s="20">
        <v>44627.0</v>
      </c>
      <c r="AT6" s="15">
        <f>558.45/4</f>
        <v>139.6125</v>
      </c>
      <c r="AU6" s="26" t="s">
        <v>75</v>
      </c>
      <c r="AV6" s="20">
        <v>44627.0</v>
      </c>
      <c r="AW6" s="23">
        <f>278.16/4</f>
        <v>69.54</v>
      </c>
      <c r="AX6" s="22" t="s">
        <v>76</v>
      </c>
      <c r="AY6" s="20">
        <v>44627.0</v>
      </c>
      <c r="AZ6" s="17">
        <f t="shared" ref="AZ6:AZ86" si="6">AVERAGE(AW6,AQ6,AT6)</f>
        <v>89.13</v>
      </c>
    </row>
    <row r="7">
      <c r="A7" s="10">
        <v>6.0</v>
      </c>
      <c r="B7" s="11">
        <v>2.1000000509E10</v>
      </c>
      <c r="C7" s="12" t="s">
        <v>77</v>
      </c>
      <c r="D7" s="13" t="s">
        <v>78</v>
      </c>
      <c r="E7" s="11" t="s">
        <v>62</v>
      </c>
      <c r="F7" s="14">
        <v>345906.0</v>
      </c>
      <c r="G7" s="15">
        <f t="shared" si="1"/>
        <v>2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21">
        <v>2.0</v>
      </c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1" t="s">
        <v>63</v>
      </c>
      <c r="AL7" s="17">
        <f t="shared" si="2"/>
        <v>69.503</v>
      </c>
      <c r="AM7" s="17">
        <f t="shared" si="3"/>
        <v>129.077</v>
      </c>
      <c r="AN7" s="11" t="s">
        <v>55</v>
      </c>
      <c r="AO7" s="11" t="s">
        <v>1</v>
      </c>
      <c r="AP7" s="11" t="s">
        <v>56</v>
      </c>
      <c r="AQ7" s="18">
        <v>99.29</v>
      </c>
      <c r="AR7" s="19" t="s">
        <v>79</v>
      </c>
      <c r="AS7" s="20">
        <v>44603.0</v>
      </c>
      <c r="AT7" s="23"/>
      <c r="AU7" s="24"/>
      <c r="AV7" s="15"/>
      <c r="AW7" s="23"/>
      <c r="AX7" s="24"/>
      <c r="AY7" s="15"/>
      <c r="AZ7" s="17">
        <f t="shared" si="6"/>
        <v>99.29</v>
      </c>
    </row>
    <row r="8">
      <c r="A8" s="10">
        <v>7.0</v>
      </c>
      <c r="B8" s="11">
        <v>2.1000000013E10</v>
      </c>
      <c r="C8" s="12" t="s">
        <v>80</v>
      </c>
      <c r="D8" s="13" t="s">
        <v>81</v>
      </c>
      <c r="E8" s="11" t="s">
        <v>62</v>
      </c>
      <c r="F8" s="14">
        <v>412648.0</v>
      </c>
      <c r="G8" s="15">
        <f t="shared" si="1"/>
        <v>10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21">
        <v>10.0</v>
      </c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1" t="s">
        <v>63</v>
      </c>
      <c r="AL8" s="17">
        <f t="shared" si="2"/>
        <v>23.1</v>
      </c>
      <c r="AM8" s="17">
        <f t="shared" si="3"/>
        <v>42.9</v>
      </c>
      <c r="AN8" s="11" t="s">
        <v>55</v>
      </c>
      <c r="AO8" s="11" t="s">
        <v>1</v>
      </c>
      <c r="AP8" s="11" t="s">
        <v>56</v>
      </c>
      <c r="AQ8" s="18">
        <v>33.0</v>
      </c>
      <c r="AR8" s="19" t="s">
        <v>82</v>
      </c>
      <c r="AS8" s="20">
        <v>44603.0</v>
      </c>
      <c r="AT8" s="23"/>
      <c r="AU8" s="24"/>
      <c r="AV8" s="15"/>
      <c r="AW8" s="23"/>
      <c r="AX8" s="24"/>
      <c r="AY8" s="15"/>
      <c r="AZ8" s="17">
        <f t="shared" si="6"/>
        <v>33</v>
      </c>
    </row>
    <row r="9">
      <c r="A9" s="10">
        <v>8.0</v>
      </c>
      <c r="B9" s="11">
        <v>2.1000000016E10</v>
      </c>
      <c r="C9" s="12" t="s">
        <v>83</v>
      </c>
      <c r="D9" s="13" t="s">
        <v>84</v>
      </c>
      <c r="E9" s="11" t="s">
        <v>85</v>
      </c>
      <c r="F9" s="14">
        <v>426587.0</v>
      </c>
      <c r="G9" s="15">
        <f t="shared" si="1"/>
        <v>19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1">
        <v>4.0</v>
      </c>
      <c r="AJ9" s="21">
        <v>15.0</v>
      </c>
      <c r="AK9" s="15"/>
      <c r="AL9" s="17">
        <f t="shared" si="2"/>
        <v>25.165</v>
      </c>
      <c r="AM9" s="17">
        <f t="shared" si="3"/>
        <v>46.735</v>
      </c>
      <c r="AN9" s="11" t="s">
        <v>55</v>
      </c>
      <c r="AO9" s="11" t="s">
        <v>1</v>
      </c>
      <c r="AP9" s="11" t="s">
        <v>56</v>
      </c>
      <c r="AQ9" s="18">
        <v>35.95</v>
      </c>
      <c r="AR9" s="19" t="s">
        <v>86</v>
      </c>
      <c r="AS9" s="20">
        <v>44603.0</v>
      </c>
      <c r="AT9" s="23"/>
      <c r="AU9" s="24"/>
      <c r="AV9" s="15"/>
      <c r="AW9" s="23"/>
      <c r="AX9" s="24"/>
      <c r="AY9" s="15"/>
      <c r="AZ9" s="17">
        <f t="shared" si="6"/>
        <v>35.95</v>
      </c>
    </row>
    <row r="10">
      <c r="A10" s="10">
        <v>9.0</v>
      </c>
      <c r="B10" s="11">
        <v>2.1000000018E10</v>
      </c>
      <c r="C10" s="12" t="s">
        <v>87</v>
      </c>
      <c r="D10" s="13" t="s">
        <v>88</v>
      </c>
      <c r="E10" s="11" t="s">
        <v>62</v>
      </c>
      <c r="F10" s="14">
        <v>347336.0</v>
      </c>
      <c r="G10" s="15">
        <f t="shared" si="1"/>
        <v>16</v>
      </c>
      <c r="H10" s="15"/>
      <c r="I10" s="15"/>
      <c r="J10" s="15"/>
      <c r="K10" s="15"/>
      <c r="L10" s="15"/>
      <c r="M10" s="21"/>
      <c r="N10" s="21"/>
      <c r="O10" s="21">
        <v>5.0</v>
      </c>
      <c r="P10" s="15"/>
      <c r="Q10" s="15"/>
      <c r="R10" s="11">
        <v>2.0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1"/>
      <c r="AG10" s="11">
        <v>5.0</v>
      </c>
      <c r="AH10" s="15"/>
      <c r="AI10" s="11">
        <v>4.0</v>
      </c>
      <c r="AJ10" s="11"/>
      <c r="AK10" s="15"/>
      <c r="AL10" s="17">
        <f t="shared" si="2"/>
        <v>21.973</v>
      </c>
      <c r="AM10" s="17">
        <f t="shared" si="3"/>
        <v>40.807</v>
      </c>
      <c r="AN10" s="11" t="s">
        <v>55</v>
      </c>
      <c r="AO10" s="11" t="s">
        <v>1</v>
      </c>
      <c r="AP10" s="11" t="s">
        <v>56</v>
      </c>
      <c r="AQ10" s="18">
        <v>31.39</v>
      </c>
      <c r="AR10" s="19" t="s">
        <v>89</v>
      </c>
      <c r="AS10" s="20">
        <v>44603.0</v>
      </c>
      <c r="AT10" s="23"/>
      <c r="AU10" s="24"/>
      <c r="AV10" s="15"/>
      <c r="AW10" s="23"/>
      <c r="AX10" s="24"/>
      <c r="AY10" s="15"/>
      <c r="AZ10" s="17">
        <f t="shared" si="6"/>
        <v>31.39</v>
      </c>
    </row>
    <row r="11">
      <c r="A11" s="10">
        <v>10.0</v>
      </c>
      <c r="B11" s="11">
        <v>2.1000000022E10</v>
      </c>
      <c r="C11" s="12" t="s">
        <v>90</v>
      </c>
      <c r="D11" s="13" t="s">
        <v>91</v>
      </c>
      <c r="E11" s="11" t="s">
        <v>62</v>
      </c>
      <c r="F11" s="14">
        <v>352710.0</v>
      </c>
      <c r="G11" s="15">
        <f t="shared" si="1"/>
        <v>1</v>
      </c>
      <c r="H11" s="15"/>
      <c r="I11" s="21"/>
      <c r="J11" s="21">
        <v>1.0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1"/>
      <c r="AK11" s="11" t="s">
        <v>63</v>
      </c>
      <c r="AL11" s="17">
        <f t="shared" si="2"/>
        <v>65.31</v>
      </c>
      <c r="AM11" s="17">
        <f t="shared" si="3"/>
        <v>121.29</v>
      </c>
      <c r="AN11" s="11" t="s">
        <v>55</v>
      </c>
      <c r="AO11" s="11" t="s">
        <v>1</v>
      </c>
      <c r="AP11" s="11" t="s">
        <v>56</v>
      </c>
      <c r="AQ11" s="18">
        <v>110.52</v>
      </c>
      <c r="AR11" s="19" t="s">
        <v>92</v>
      </c>
      <c r="AS11" s="20">
        <v>44603.0</v>
      </c>
      <c r="AT11" s="18">
        <v>85.0</v>
      </c>
      <c r="AU11" s="19" t="s">
        <v>93</v>
      </c>
      <c r="AV11" s="20">
        <v>44603.0</v>
      </c>
      <c r="AW11" s="18">
        <v>84.38</v>
      </c>
      <c r="AX11" s="19" t="s">
        <v>94</v>
      </c>
      <c r="AY11" s="20">
        <v>44603.0</v>
      </c>
      <c r="AZ11" s="17">
        <f t="shared" si="6"/>
        <v>93.3</v>
      </c>
    </row>
    <row r="12">
      <c r="A12" s="10">
        <v>11.0</v>
      </c>
      <c r="B12" s="11">
        <v>2.1000000486E10</v>
      </c>
      <c r="C12" s="12" t="s">
        <v>95</v>
      </c>
      <c r="D12" s="13" t="s">
        <v>96</v>
      </c>
      <c r="E12" s="11" t="s">
        <v>97</v>
      </c>
      <c r="F12" s="27">
        <v>346506.0</v>
      </c>
      <c r="G12" s="15">
        <f t="shared" si="1"/>
        <v>300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6">
        <v>300.0</v>
      </c>
      <c r="AK12" s="15"/>
      <c r="AL12" s="17">
        <f t="shared" si="2"/>
        <v>0.4806666667</v>
      </c>
      <c r="AM12" s="17">
        <f t="shared" si="3"/>
        <v>0.8926666667</v>
      </c>
      <c r="AN12" s="11" t="s">
        <v>55</v>
      </c>
      <c r="AO12" s="11" t="s">
        <v>1</v>
      </c>
      <c r="AP12" s="11" t="s">
        <v>56</v>
      </c>
      <c r="AQ12" s="18">
        <v>0.6</v>
      </c>
      <c r="AR12" s="19" t="s">
        <v>98</v>
      </c>
      <c r="AS12" s="20">
        <v>44603.0</v>
      </c>
      <c r="AT12" s="18">
        <v>0.8</v>
      </c>
      <c r="AU12" s="19" t="s">
        <v>99</v>
      </c>
      <c r="AV12" s="20">
        <v>44603.0</v>
      </c>
      <c r="AW12" s="18">
        <v>0.66</v>
      </c>
      <c r="AX12" s="19" t="s">
        <v>100</v>
      </c>
      <c r="AY12" s="20">
        <v>44603.0</v>
      </c>
      <c r="AZ12" s="17">
        <f t="shared" si="6"/>
        <v>0.6866666667</v>
      </c>
    </row>
    <row r="13">
      <c r="A13" s="10">
        <v>12.0</v>
      </c>
      <c r="B13" s="11">
        <v>2.100000006E10</v>
      </c>
      <c r="C13" s="28" t="s">
        <v>101</v>
      </c>
      <c r="D13" s="13" t="s">
        <v>102</v>
      </c>
      <c r="E13" s="11" t="s">
        <v>97</v>
      </c>
      <c r="F13" s="14">
        <v>357778.0</v>
      </c>
      <c r="G13" s="15">
        <f t="shared" si="1"/>
        <v>100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21">
        <v>100.0</v>
      </c>
      <c r="AI13" s="15"/>
      <c r="AJ13" s="15"/>
      <c r="AK13" s="15"/>
      <c r="AL13" s="17">
        <f t="shared" si="2"/>
        <v>1.129333333</v>
      </c>
      <c r="AM13" s="17">
        <f t="shared" si="3"/>
        <v>2.097333333</v>
      </c>
      <c r="AN13" s="11" t="s">
        <v>55</v>
      </c>
      <c r="AO13" s="11" t="s">
        <v>1</v>
      </c>
      <c r="AP13" s="11" t="s">
        <v>56</v>
      </c>
      <c r="AQ13" s="18">
        <v>1.54</v>
      </c>
      <c r="AR13" s="19" t="s">
        <v>103</v>
      </c>
      <c r="AS13" s="20">
        <v>44603.0</v>
      </c>
      <c r="AT13" s="18">
        <v>1.61</v>
      </c>
      <c r="AU13" s="19" t="s">
        <v>104</v>
      </c>
      <c r="AV13" s="20">
        <v>44603.0</v>
      </c>
      <c r="AW13" s="18">
        <v>1.69</v>
      </c>
      <c r="AX13" s="19" t="s">
        <v>105</v>
      </c>
      <c r="AY13" s="20">
        <v>44603.0</v>
      </c>
      <c r="AZ13" s="17">
        <f t="shared" si="6"/>
        <v>1.613333333</v>
      </c>
    </row>
    <row r="14">
      <c r="A14" s="10">
        <v>13.0</v>
      </c>
      <c r="B14" s="11">
        <v>2.1000000082E10</v>
      </c>
      <c r="C14" s="12" t="s">
        <v>106</v>
      </c>
      <c r="D14" s="13" t="s">
        <v>107</v>
      </c>
      <c r="E14" s="11" t="s">
        <v>62</v>
      </c>
      <c r="F14" s="14">
        <v>347320.0</v>
      </c>
      <c r="G14" s="15">
        <f t="shared" si="1"/>
        <v>11</v>
      </c>
      <c r="H14" s="15"/>
      <c r="I14" s="21"/>
      <c r="J14" s="21">
        <v>2.0</v>
      </c>
      <c r="K14" s="15"/>
      <c r="L14" s="15"/>
      <c r="M14" s="15"/>
      <c r="N14" s="15"/>
      <c r="O14" s="15"/>
      <c r="P14" s="15"/>
      <c r="Q14" s="15"/>
      <c r="R14" s="11">
        <v>5.0</v>
      </c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1">
        <v>1.0</v>
      </c>
      <c r="AF14" s="15"/>
      <c r="AG14" s="15"/>
      <c r="AH14" s="11">
        <v>1.0</v>
      </c>
      <c r="AI14" s="11">
        <v>2.0</v>
      </c>
      <c r="AJ14" s="11"/>
      <c r="AK14" s="11" t="s">
        <v>63</v>
      </c>
      <c r="AL14" s="17">
        <f t="shared" si="2"/>
        <v>110.194</v>
      </c>
      <c r="AM14" s="17">
        <f t="shared" si="3"/>
        <v>204.646</v>
      </c>
      <c r="AN14" s="11" t="s">
        <v>55</v>
      </c>
      <c r="AO14" s="11" t="s">
        <v>1</v>
      </c>
      <c r="AP14" s="11" t="s">
        <v>56</v>
      </c>
      <c r="AQ14" s="18">
        <v>157.42</v>
      </c>
      <c r="AR14" s="19" t="s">
        <v>108</v>
      </c>
      <c r="AS14" s="20">
        <v>44609.0</v>
      </c>
      <c r="AT14" s="23"/>
      <c r="AU14" s="24"/>
      <c r="AV14" s="15"/>
      <c r="AW14" s="23"/>
      <c r="AX14" s="24"/>
      <c r="AY14" s="15"/>
      <c r="AZ14" s="17">
        <f t="shared" si="6"/>
        <v>157.42</v>
      </c>
    </row>
    <row r="15">
      <c r="A15" s="10">
        <v>14.0</v>
      </c>
      <c r="B15" s="11">
        <v>2.1000000066E10</v>
      </c>
      <c r="C15" s="12" t="s">
        <v>109</v>
      </c>
      <c r="D15" s="13" t="s">
        <v>110</v>
      </c>
      <c r="E15" s="11" t="s">
        <v>97</v>
      </c>
      <c r="F15" s="14">
        <v>347156.0</v>
      </c>
      <c r="G15" s="15">
        <f t="shared" si="1"/>
        <v>500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21">
        <v>500.0</v>
      </c>
      <c r="AI15" s="15"/>
      <c r="AJ15" s="15"/>
      <c r="AK15" s="15"/>
      <c r="AL15" s="17">
        <f t="shared" si="2"/>
        <v>0.03033333333</v>
      </c>
      <c r="AM15" s="17">
        <f t="shared" si="3"/>
        <v>0.05633333333</v>
      </c>
      <c r="AN15" s="11" t="s">
        <v>55</v>
      </c>
      <c r="AO15" s="11" t="s">
        <v>1</v>
      </c>
      <c r="AP15" s="11" t="s">
        <v>56</v>
      </c>
      <c r="AQ15" s="18">
        <v>0.03</v>
      </c>
      <c r="AR15" s="19" t="s">
        <v>111</v>
      </c>
      <c r="AS15" s="20">
        <v>44603.0</v>
      </c>
      <c r="AT15" s="18">
        <v>0.04</v>
      </c>
      <c r="AU15" s="19" t="s">
        <v>112</v>
      </c>
      <c r="AV15" s="20">
        <v>44603.0</v>
      </c>
      <c r="AW15" s="18">
        <v>0.06</v>
      </c>
      <c r="AX15" s="19" t="s">
        <v>113</v>
      </c>
      <c r="AY15" s="20">
        <v>44603.0</v>
      </c>
      <c r="AZ15" s="17">
        <f t="shared" si="6"/>
        <v>0.04333333333</v>
      </c>
    </row>
    <row r="16">
      <c r="A16" s="10">
        <v>15.0</v>
      </c>
      <c r="B16" s="11">
        <v>2.1000000294E10</v>
      </c>
      <c r="C16" s="12" t="s">
        <v>114</v>
      </c>
      <c r="D16" s="13" t="s">
        <v>115</v>
      </c>
      <c r="E16" s="11" t="s">
        <v>62</v>
      </c>
      <c r="F16" s="14">
        <v>366457.0</v>
      </c>
      <c r="G16" s="15">
        <f t="shared" si="1"/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21">
        <v>1.0</v>
      </c>
      <c r="AJ16" s="15"/>
      <c r="AK16" s="15"/>
      <c r="AL16" s="17">
        <f t="shared" si="2"/>
        <v>715.176</v>
      </c>
      <c r="AM16" s="17">
        <f t="shared" si="3"/>
        <v>1328.184</v>
      </c>
      <c r="AN16" s="11" t="s">
        <v>55</v>
      </c>
      <c r="AO16" s="11" t="s">
        <v>1</v>
      </c>
      <c r="AP16" s="11" t="s">
        <v>56</v>
      </c>
      <c r="AQ16" s="18">
        <v>1021.68</v>
      </c>
      <c r="AR16" s="19" t="s">
        <v>116</v>
      </c>
      <c r="AS16" s="20">
        <v>44603.0</v>
      </c>
      <c r="AT16" s="23"/>
      <c r="AU16" s="24"/>
      <c r="AV16" s="15"/>
      <c r="AW16" s="23"/>
      <c r="AX16" s="24"/>
      <c r="AY16" s="15"/>
      <c r="AZ16" s="17">
        <f t="shared" si="6"/>
        <v>1021.68</v>
      </c>
    </row>
    <row r="17">
      <c r="A17" s="10">
        <v>16.0</v>
      </c>
      <c r="B17" s="11">
        <v>2.1000000488E10</v>
      </c>
      <c r="C17" s="12" t="s">
        <v>117</v>
      </c>
      <c r="D17" s="13" t="s">
        <v>118</v>
      </c>
      <c r="E17" s="11" t="s">
        <v>119</v>
      </c>
      <c r="F17" s="27">
        <v>355518.0</v>
      </c>
      <c r="G17" s="15">
        <f t="shared" si="1"/>
        <v>1000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1">
        <v>1000.0</v>
      </c>
      <c r="AC17" s="15"/>
      <c r="AD17" s="15"/>
      <c r="AE17" s="15"/>
      <c r="AF17" s="15"/>
      <c r="AG17" s="15"/>
      <c r="AH17" s="21"/>
      <c r="AI17" s="15"/>
      <c r="AJ17" s="15"/>
      <c r="AK17" s="15"/>
      <c r="AL17" s="17">
        <f t="shared" si="2"/>
        <v>0.1471913333</v>
      </c>
      <c r="AM17" s="17">
        <f t="shared" si="3"/>
        <v>0.2733553333</v>
      </c>
      <c r="AN17" s="11" t="s">
        <v>120</v>
      </c>
      <c r="AO17" s="11" t="s">
        <v>1</v>
      </c>
      <c r="AP17" s="11" t="s">
        <v>56</v>
      </c>
      <c r="AQ17" s="18">
        <f>93.82/500</f>
        <v>0.18764</v>
      </c>
      <c r="AR17" s="22" t="s">
        <v>121</v>
      </c>
      <c r="AS17" s="20">
        <v>44613.0</v>
      </c>
      <c r="AT17" s="18">
        <f>113.58/500</f>
        <v>0.22716</v>
      </c>
      <c r="AU17" s="22" t="s">
        <v>122</v>
      </c>
      <c r="AV17" s="20">
        <v>44613.0</v>
      </c>
      <c r="AW17" s="18">
        <f>108.01/500</f>
        <v>0.21602</v>
      </c>
      <c r="AX17" s="22" t="s">
        <v>123</v>
      </c>
      <c r="AY17" s="20">
        <v>44613.0</v>
      </c>
      <c r="AZ17" s="17">
        <f t="shared" si="6"/>
        <v>0.2102733333</v>
      </c>
    </row>
    <row r="18">
      <c r="A18" s="10">
        <v>17.0</v>
      </c>
      <c r="B18" s="11">
        <v>2.1000000373E10</v>
      </c>
      <c r="C18" s="12" t="s">
        <v>124</v>
      </c>
      <c r="D18" s="13" t="s">
        <v>125</v>
      </c>
      <c r="E18" s="11" t="s">
        <v>97</v>
      </c>
      <c r="F18" s="14">
        <v>366458.0</v>
      </c>
      <c r="G18" s="15">
        <f t="shared" si="1"/>
        <v>100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21">
        <v>100.0</v>
      </c>
      <c r="AI18" s="15"/>
      <c r="AJ18" s="15"/>
      <c r="AK18" s="15"/>
      <c r="AL18" s="17" t="str">
        <f t="shared" si="2"/>
        <v>#DIV/0!</v>
      </c>
      <c r="AM18" s="17" t="str">
        <f t="shared" si="3"/>
        <v>#DIV/0!</v>
      </c>
      <c r="AN18" s="11" t="s">
        <v>55</v>
      </c>
      <c r="AO18" s="11" t="s">
        <v>1</v>
      </c>
      <c r="AP18" s="11" t="s">
        <v>56</v>
      </c>
      <c r="AQ18" s="23"/>
      <c r="AR18" s="24"/>
      <c r="AS18" s="15"/>
      <c r="AT18" s="23"/>
      <c r="AU18" s="24"/>
      <c r="AV18" s="15"/>
      <c r="AW18" s="23"/>
      <c r="AX18" s="24"/>
      <c r="AY18" s="15"/>
      <c r="AZ18" s="17" t="str">
        <f t="shared" si="6"/>
        <v>#DIV/0!</v>
      </c>
    </row>
    <row r="19">
      <c r="A19" s="10">
        <v>18.0</v>
      </c>
      <c r="B19" s="29">
        <v>2.1000000487E10</v>
      </c>
      <c r="C19" s="12" t="s">
        <v>126</v>
      </c>
      <c r="D19" s="13" t="s">
        <v>127</v>
      </c>
      <c r="E19" s="11" t="s">
        <v>62</v>
      </c>
      <c r="F19" s="14">
        <v>347290.0</v>
      </c>
      <c r="G19" s="15">
        <f t="shared" si="1"/>
        <v>5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21"/>
      <c r="AG19" s="21">
        <v>5.0</v>
      </c>
      <c r="AH19" s="15"/>
      <c r="AI19" s="15"/>
      <c r="AJ19" s="15"/>
      <c r="AK19" s="15"/>
      <c r="AL19" s="17" t="str">
        <f t="shared" si="2"/>
        <v>#DIV/0!</v>
      </c>
      <c r="AM19" s="17" t="str">
        <f t="shared" si="3"/>
        <v>#DIV/0!</v>
      </c>
      <c r="AN19" s="11" t="s">
        <v>55</v>
      </c>
      <c r="AO19" s="11" t="s">
        <v>1</v>
      </c>
      <c r="AP19" s="11" t="s">
        <v>56</v>
      </c>
      <c r="AQ19" s="18"/>
      <c r="AR19" s="30"/>
      <c r="AS19" s="20"/>
      <c r="AT19" s="23"/>
      <c r="AU19" s="24"/>
      <c r="AV19" s="15"/>
      <c r="AW19" s="23"/>
      <c r="AX19" s="24"/>
      <c r="AY19" s="15"/>
      <c r="AZ19" s="17" t="str">
        <f t="shared" si="6"/>
        <v>#DIV/0!</v>
      </c>
    </row>
    <row r="20">
      <c r="A20" s="10">
        <v>19.0</v>
      </c>
      <c r="B20" s="11">
        <v>2.1000000063E10</v>
      </c>
      <c r="C20" s="12" t="s">
        <v>128</v>
      </c>
      <c r="D20" s="13" t="s">
        <v>129</v>
      </c>
      <c r="E20" s="11" t="s">
        <v>62</v>
      </c>
      <c r="F20" s="14">
        <v>380384.0</v>
      </c>
      <c r="G20" s="15">
        <f t="shared" si="1"/>
        <v>51</v>
      </c>
      <c r="H20" s="11">
        <v>4.0</v>
      </c>
      <c r="I20" s="21"/>
      <c r="J20" s="21">
        <v>4.0</v>
      </c>
      <c r="K20" s="15"/>
      <c r="L20" s="15"/>
      <c r="M20" s="11"/>
      <c r="N20" s="11"/>
      <c r="O20" s="11">
        <v>5.0</v>
      </c>
      <c r="P20" s="15"/>
      <c r="Q20" s="11">
        <v>2.0</v>
      </c>
      <c r="R20" s="11">
        <v>5.0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1">
        <v>1.0</v>
      </c>
      <c r="AI20" s="11">
        <v>10.0</v>
      </c>
      <c r="AJ20" s="11">
        <v>20.0</v>
      </c>
      <c r="AK20" s="11" t="s">
        <v>63</v>
      </c>
      <c r="AL20" s="17">
        <f t="shared" si="2"/>
        <v>46.95133333</v>
      </c>
      <c r="AM20" s="17">
        <f t="shared" si="3"/>
        <v>87.19533333</v>
      </c>
      <c r="AN20" s="11" t="s">
        <v>55</v>
      </c>
      <c r="AO20" s="11" t="s">
        <v>1</v>
      </c>
      <c r="AP20" s="11" t="s">
        <v>56</v>
      </c>
      <c r="AQ20" s="18">
        <v>58.59</v>
      </c>
      <c r="AR20" s="30" t="s">
        <v>130</v>
      </c>
      <c r="AS20" s="20">
        <v>44603.0</v>
      </c>
      <c r="AT20" s="18">
        <v>67.65</v>
      </c>
      <c r="AU20" s="19" t="s">
        <v>131</v>
      </c>
      <c r="AV20" s="20">
        <v>44609.0</v>
      </c>
      <c r="AW20" s="18">
        <v>74.98</v>
      </c>
      <c r="AX20" s="22" t="s">
        <v>132</v>
      </c>
      <c r="AY20" s="20">
        <v>44609.0</v>
      </c>
      <c r="AZ20" s="17">
        <f t="shared" si="6"/>
        <v>67.07333333</v>
      </c>
    </row>
    <row r="21">
      <c r="A21" s="10">
        <v>20.0</v>
      </c>
      <c r="B21" s="11">
        <v>2.1000000067E10</v>
      </c>
      <c r="C21" s="12" t="s">
        <v>133</v>
      </c>
      <c r="D21" s="13" t="s">
        <v>134</v>
      </c>
      <c r="E21" s="11" t="s">
        <v>97</v>
      </c>
      <c r="F21" s="14">
        <v>412736.0</v>
      </c>
      <c r="G21" s="15">
        <f t="shared" si="1"/>
        <v>500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21">
        <v>500.0</v>
      </c>
      <c r="AJ21" s="15"/>
      <c r="AK21" s="15"/>
      <c r="AL21" s="17">
        <f t="shared" si="2"/>
        <v>0.1936666667</v>
      </c>
      <c r="AM21" s="17">
        <f t="shared" si="3"/>
        <v>0.3596666667</v>
      </c>
      <c r="AN21" s="11" t="s">
        <v>55</v>
      </c>
      <c r="AO21" s="11" t="s">
        <v>1</v>
      </c>
      <c r="AP21" s="11" t="s">
        <v>56</v>
      </c>
      <c r="AQ21" s="18">
        <v>0.23</v>
      </c>
      <c r="AR21" s="19" t="s">
        <v>135</v>
      </c>
      <c r="AS21" s="20">
        <v>44603.0</v>
      </c>
      <c r="AT21" s="18">
        <v>0.29</v>
      </c>
      <c r="AU21" s="19" t="s">
        <v>136</v>
      </c>
      <c r="AV21" s="20">
        <v>44603.0</v>
      </c>
      <c r="AW21" s="18">
        <v>0.31</v>
      </c>
      <c r="AX21" s="19" t="s">
        <v>137</v>
      </c>
      <c r="AY21" s="20">
        <v>44603.0</v>
      </c>
      <c r="AZ21" s="17">
        <f t="shared" si="6"/>
        <v>0.2766666667</v>
      </c>
    </row>
    <row r="22">
      <c r="A22" s="10">
        <v>21.0</v>
      </c>
      <c r="B22" s="11">
        <v>2.1000000058E10</v>
      </c>
      <c r="C22" s="12" t="s">
        <v>138</v>
      </c>
      <c r="D22" s="13" t="s">
        <v>139</v>
      </c>
      <c r="E22" s="11" t="s">
        <v>140</v>
      </c>
      <c r="F22" s="14">
        <v>397085.0</v>
      </c>
      <c r="G22" s="15">
        <f t="shared" si="1"/>
        <v>1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21">
        <v>1.0</v>
      </c>
      <c r="AC22" s="15"/>
      <c r="AD22" s="15"/>
      <c r="AE22" s="15"/>
      <c r="AF22" s="15"/>
      <c r="AG22" s="15"/>
      <c r="AH22" s="15"/>
      <c r="AI22" s="15"/>
      <c r="AJ22" s="15"/>
      <c r="AK22" s="15"/>
      <c r="AL22" s="17">
        <f t="shared" si="2"/>
        <v>217.5576667</v>
      </c>
      <c r="AM22" s="17">
        <f t="shared" si="3"/>
        <v>404.0356667</v>
      </c>
      <c r="AN22" s="11" t="s">
        <v>55</v>
      </c>
      <c r="AO22" s="11" t="s">
        <v>1</v>
      </c>
      <c r="AP22" s="11" t="s">
        <v>56</v>
      </c>
      <c r="AQ22" s="18">
        <v>337.5</v>
      </c>
      <c r="AR22" s="19" t="s">
        <v>141</v>
      </c>
      <c r="AS22" s="20">
        <v>44603.0</v>
      </c>
      <c r="AT22" s="18">
        <v>288.95</v>
      </c>
      <c r="AU22" s="19" t="s">
        <v>142</v>
      </c>
      <c r="AV22" s="20">
        <v>44603.0</v>
      </c>
      <c r="AW22" s="18">
        <v>305.94</v>
      </c>
      <c r="AX22" s="22" t="s">
        <v>143</v>
      </c>
      <c r="AY22" s="20">
        <v>44603.0</v>
      </c>
      <c r="AZ22" s="17">
        <f t="shared" si="6"/>
        <v>310.7966667</v>
      </c>
    </row>
    <row r="23">
      <c r="A23" s="10">
        <v>22.0</v>
      </c>
      <c r="B23" s="11">
        <v>2.1000000049E10</v>
      </c>
      <c r="C23" s="12" t="s">
        <v>144</v>
      </c>
      <c r="D23" s="13" t="s">
        <v>145</v>
      </c>
      <c r="E23" s="11" t="s">
        <v>140</v>
      </c>
      <c r="F23" s="14">
        <v>387015.0</v>
      </c>
      <c r="G23" s="15">
        <f t="shared" si="1"/>
        <v>8</v>
      </c>
      <c r="H23" s="15"/>
      <c r="I23" s="21"/>
      <c r="J23" s="21">
        <v>3.0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1"/>
      <c r="Z23" s="11">
        <v>5.0</v>
      </c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1"/>
      <c r="AL23" s="17">
        <f t="shared" si="2"/>
        <v>353.3553333</v>
      </c>
      <c r="AM23" s="17">
        <f t="shared" si="3"/>
        <v>656.2313333</v>
      </c>
      <c r="AN23" s="11" t="s">
        <v>55</v>
      </c>
      <c r="AO23" s="11" t="s">
        <v>1</v>
      </c>
      <c r="AP23" s="11" t="s">
        <v>56</v>
      </c>
      <c r="AQ23" s="18">
        <v>268.2</v>
      </c>
      <c r="AR23" s="19" t="s">
        <v>146</v>
      </c>
      <c r="AS23" s="20">
        <v>44603.0</v>
      </c>
      <c r="AT23" s="18">
        <v>625.68</v>
      </c>
      <c r="AU23" s="19" t="s">
        <v>147</v>
      </c>
      <c r="AV23" s="20">
        <v>44603.0</v>
      </c>
      <c r="AW23" s="18">
        <v>620.5</v>
      </c>
      <c r="AX23" s="19" t="s">
        <v>148</v>
      </c>
      <c r="AY23" s="20">
        <v>44603.0</v>
      </c>
      <c r="AZ23" s="17">
        <f t="shared" si="6"/>
        <v>504.7933333</v>
      </c>
    </row>
    <row r="24">
      <c r="A24" s="10">
        <v>23.0</v>
      </c>
      <c r="B24" s="11">
        <v>2.100000051E10</v>
      </c>
      <c r="C24" s="12" t="s">
        <v>149</v>
      </c>
      <c r="D24" s="13" t="s">
        <v>150</v>
      </c>
      <c r="E24" s="11" t="s">
        <v>140</v>
      </c>
      <c r="F24" s="14">
        <v>326286.0</v>
      </c>
      <c r="G24" s="15">
        <f t="shared" si="1"/>
        <v>1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21">
        <v>1.0</v>
      </c>
      <c r="AC24" s="15"/>
      <c r="AD24" s="15"/>
      <c r="AE24" s="15"/>
      <c r="AF24" s="15"/>
      <c r="AG24" s="15"/>
      <c r="AH24" s="15"/>
      <c r="AI24" s="15"/>
      <c r="AJ24" s="15"/>
      <c r="AK24" s="11" t="s">
        <v>63</v>
      </c>
      <c r="AL24" s="17">
        <f t="shared" si="2"/>
        <v>426.902</v>
      </c>
      <c r="AM24" s="17">
        <f t="shared" si="3"/>
        <v>792.818</v>
      </c>
      <c r="AN24" s="11" t="s">
        <v>55</v>
      </c>
      <c r="AO24" s="11" t="s">
        <v>1</v>
      </c>
      <c r="AP24" s="11" t="s">
        <v>56</v>
      </c>
      <c r="AQ24" s="18">
        <v>690.8</v>
      </c>
      <c r="AR24" s="19" t="s">
        <v>151</v>
      </c>
      <c r="AS24" s="20">
        <v>44606.0</v>
      </c>
      <c r="AT24" s="18">
        <v>438.77</v>
      </c>
      <c r="AU24" s="19" t="s">
        <v>152</v>
      </c>
      <c r="AV24" s="20">
        <v>44606.0</v>
      </c>
      <c r="AW24" s="18">
        <v>700.01</v>
      </c>
      <c r="AX24" s="19" t="s">
        <v>153</v>
      </c>
      <c r="AY24" s="20">
        <v>44606.0</v>
      </c>
      <c r="AZ24" s="17">
        <f t="shared" si="6"/>
        <v>609.86</v>
      </c>
    </row>
    <row r="25">
      <c r="A25" s="10">
        <v>24.0</v>
      </c>
      <c r="B25" s="11">
        <v>2.1000000069E10</v>
      </c>
      <c r="C25" s="12" t="s">
        <v>154</v>
      </c>
      <c r="D25" s="13" t="s">
        <v>155</v>
      </c>
      <c r="E25" s="11" t="s">
        <v>140</v>
      </c>
      <c r="F25" s="14">
        <v>326288.0</v>
      </c>
      <c r="G25" s="15">
        <f t="shared" si="1"/>
        <v>3</v>
      </c>
      <c r="H25" s="15"/>
      <c r="I25" s="15"/>
      <c r="J25" s="15"/>
      <c r="K25" s="15"/>
      <c r="L25" s="21">
        <v>2.0</v>
      </c>
      <c r="M25" s="15"/>
      <c r="N25" s="15"/>
      <c r="O25" s="15"/>
      <c r="P25" s="15"/>
      <c r="Q25" s="15"/>
      <c r="R25" s="15"/>
      <c r="S25" s="11">
        <v>1.0</v>
      </c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1" t="s">
        <v>63</v>
      </c>
      <c r="AL25" s="17">
        <f t="shared" si="2"/>
        <v>279.314</v>
      </c>
      <c r="AM25" s="17">
        <f t="shared" si="3"/>
        <v>518.726</v>
      </c>
      <c r="AN25" s="11" t="s">
        <v>55</v>
      </c>
      <c r="AO25" s="11" t="s">
        <v>1</v>
      </c>
      <c r="AP25" s="11" t="s">
        <v>56</v>
      </c>
      <c r="AQ25" s="18">
        <v>365.68</v>
      </c>
      <c r="AR25" s="19" t="s">
        <v>156</v>
      </c>
      <c r="AS25" s="20">
        <v>44606.0</v>
      </c>
      <c r="AT25" s="18">
        <v>349.87</v>
      </c>
      <c r="AU25" s="19" t="s">
        <v>157</v>
      </c>
      <c r="AV25" s="20">
        <v>44606.0</v>
      </c>
      <c r="AW25" s="18">
        <v>481.51</v>
      </c>
      <c r="AX25" s="19" t="s">
        <v>158</v>
      </c>
      <c r="AY25" s="20">
        <v>44606.0</v>
      </c>
      <c r="AZ25" s="17">
        <f t="shared" si="6"/>
        <v>399.02</v>
      </c>
    </row>
    <row r="26">
      <c r="A26" s="10">
        <v>25.0</v>
      </c>
      <c r="B26" s="11">
        <v>2.1000000432E10</v>
      </c>
      <c r="C26" s="12" t="s">
        <v>159</v>
      </c>
      <c r="D26" s="13" t="s">
        <v>160</v>
      </c>
      <c r="E26" s="11" t="s">
        <v>140</v>
      </c>
      <c r="F26" s="14">
        <v>405927.0</v>
      </c>
      <c r="G26" s="15">
        <f t="shared" si="1"/>
        <v>2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21"/>
      <c r="AG26" s="21">
        <f>1+1</f>
        <v>2</v>
      </c>
      <c r="AH26" s="15"/>
      <c r="AI26" s="15"/>
      <c r="AJ26" s="15"/>
      <c r="AK26" s="11" t="s">
        <v>63</v>
      </c>
      <c r="AL26" s="17">
        <f t="shared" si="2"/>
        <v>720.2883333</v>
      </c>
      <c r="AM26" s="17">
        <f t="shared" si="3"/>
        <v>1337.678333</v>
      </c>
      <c r="AN26" s="11" t="s">
        <v>55</v>
      </c>
      <c r="AO26" s="11" t="s">
        <v>1</v>
      </c>
      <c r="AP26" s="11" t="s">
        <v>56</v>
      </c>
      <c r="AQ26" s="18">
        <v>1025.44</v>
      </c>
      <c r="AR26" s="19" t="s">
        <v>161</v>
      </c>
      <c r="AS26" s="20">
        <v>44606.0</v>
      </c>
      <c r="AT26" s="18">
        <v>1045.8</v>
      </c>
      <c r="AU26" s="19" t="s">
        <v>162</v>
      </c>
      <c r="AV26" s="20">
        <v>44606.0</v>
      </c>
      <c r="AW26" s="18">
        <v>1015.71</v>
      </c>
      <c r="AX26" s="19" t="s">
        <v>163</v>
      </c>
      <c r="AY26" s="20">
        <v>44606.0</v>
      </c>
      <c r="AZ26" s="17">
        <f t="shared" si="6"/>
        <v>1028.983333</v>
      </c>
    </row>
    <row r="27">
      <c r="A27" s="10">
        <v>26.0</v>
      </c>
      <c r="B27" s="11">
        <v>2.1000000489E10</v>
      </c>
      <c r="C27" s="12" t="s">
        <v>164</v>
      </c>
      <c r="D27" s="13" t="s">
        <v>165</v>
      </c>
      <c r="E27" s="11" t="s">
        <v>140</v>
      </c>
      <c r="F27" s="14">
        <v>434588.0</v>
      </c>
      <c r="G27" s="15">
        <f t="shared" si="1"/>
        <v>1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21">
        <v>1.0</v>
      </c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7" t="str">
        <f t="shared" si="2"/>
        <v>#DIV/0!</v>
      </c>
      <c r="AM27" s="17" t="str">
        <f t="shared" si="3"/>
        <v>#DIV/0!</v>
      </c>
      <c r="AN27" s="11" t="s">
        <v>55</v>
      </c>
      <c r="AO27" s="11" t="s">
        <v>1</v>
      </c>
      <c r="AP27" s="11" t="s">
        <v>56</v>
      </c>
      <c r="AQ27" s="23"/>
      <c r="AR27" s="24"/>
      <c r="AS27" s="15"/>
      <c r="AT27" s="23"/>
      <c r="AU27" s="24"/>
      <c r="AV27" s="15"/>
      <c r="AW27" s="23"/>
      <c r="AX27" s="24"/>
      <c r="AY27" s="15"/>
      <c r="AZ27" s="17" t="str">
        <f t="shared" si="6"/>
        <v>#DIV/0!</v>
      </c>
    </row>
    <row r="28">
      <c r="A28" s="10">
        <v>27.0</v>
      </c>
      <c r="B28" s="11">
        <v>2.1000000437E10</v>
      </c>
      <c r="C28" s="12" t="s">
        <v>166</v>
      </c>
      <c r="D28" s="13" t="s">
        <v>167</v>
      </c>
      <c r="E28" s="11" t="s">
        <v>140</v>
      </c>
      <c r="F28" s="14">
        <v>326814.0</v>
      </c>
      <c r="G28" s="15">
        <f t="shared" si="1"/>
        <v>1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21"/>
      <c r="AG28" s="21">
        <v>1.0</v>
      </c>
      <c r="AH28" s="15"/>
      <c r="AI28" s="15"/>
      <c r="AJ28" s="15"/>
      <c r="AK28" s="15"/>
      <c r="AL28" s="17">
        <f t="shared" si="2"/>
        <v>315.6043333</v>
      </c>
      <c r="AM28" s="17">
        <f t="shared" si="3"/>
        <v>586.1223333</v>
      </c>
      <c r="AN28" s="11" t="s">
        <v>55</v>
      </c>
      <c r="AO28" s="11" t="s">
        <v>1</v>
      </c>
      <c r="AP28" s="11" t="s">
        <v>56</v>
      </c>
      <c r="AQ28" s="18">
        <v>423.98</v>
      </c>
      <c r="AR28" s="19" t="s">
        <v>168</v>
      </c>
      <c r="AS28" s="20">
        <v>44606.0</v>
      </c>
      <c r="AT28" s="18">
        <v>427.8</v>
      </c>
      <c r="AU28" s="19" t="s">
        <v>169</v>
      </c>
      <c r="AV28" s="20">
        <v>44606.0</v>
      </c>
      <c r="AW28" s="18">
        <v>500.81</v>
      </c>
      <c r="AX28" s="19" t="s">
        <v>170</v>
      </c>
      <c r="AY28" s="20">
        <v>44606.0</v>
      </c>
      <c r="AZ28" s="17">
        <f t="shared" si="6"/>
        <v>450.8633333</v>
      </c>
    </row>
    <row r="29">
      <c r="A29" s="10">
        <v>28.0</v>
      </c>
      <c r="B29" s="11">
        <v>2.1000000438E10</v>
      </c>
      <c r="C29" s="12" t="s">
        <v>171</v>
      </c>
      <c r="D29" s="13" t="s">
        <v>172</v>
      </c>
      <c r="E29" s="11" t="s">
        <v>140</v>
      </c>
      <c r="F29" s="14">
        <v>326284.0</v>
      </c>
      <c r="G29" s="15">
        <f t="shared" si="1"/>
        <v>1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21"/>
      <c r="AG29" s="21">
        <v>1.0</v>
      </c>
      <c r="AH29" s="15"/>
      <c r="AI29" s="15"/>
      <c r="AJ29" s="15"/>
      <c r="AK29" s="11" t="s">
        <v>63</v>
      </c>
      <c r="AL29" s="17">
        <f t="shared" si="2"/>
        <v>312.858</v>
      </c>
      <c r="AM29" s="17">
        <f t="shared" si="3"/>
        <v>581.022</v>
      </c>
      <c r="AN29" s="11" t="s">
        <v>55</v>
      </c>
      <c r="AO29" s="11" t="s">
        <v>1</v>
      </c>
      <c r="AP29" s="11" t="s">
        <v>56</v>
      </c>
      <c r="AQ29" s="18">
        <v>634.64</v>
      </c>
      <c r="AR29" s="19" t="s">
        <v>173</v>
      </c>
      <c r="AS29" s="20">
        <v>44606.0</v>
      </c>
      <c r="AT29" s="18">
        <v>392.4</v>
      </c>
      <c r="AU29" s="19" t="s">
        <v>174</v>
      </c>
      <c r="AV29" s="20">
        <v>44606.0</v>
      </c>
      <c r="AW29" s="18">
        <v>313.78</v>
      </c>
      <c r="AX29" s="19" t="s">
        <v>175</v>
      </c>
      <c r="AY29" s="20">
        <v>44606.0</v>
      </c>
      <c r="AZ29" s="17">
        <f t="shared" si="6"/>
        <v>446.94</v>
      </c>
    </row>
    <row r="30">
      <c r="A30" s="10">
        <v>29.0</v>
      </c>
      <c r="B30" s="11">
        <v>2.1000000055E10</v>
      </c>
      <c r="C30" s="12" t="s">
        <v>176</v>
      </c>
      <c r="D30" s="13" t="s">
        <v>177</v>
      </c>
      <c r="E30" s="11" t="s">
        <v>140</v>
      </c>
      <c r="F30" s="14">
        <v>326282.0</v>
      </c>
      <c r="G30" s="15">
        <f t="shared" si="1"/>
        <v>2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21">
        <v>1.0</v>
      </c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1"/>
      <c r="AG30" s="11">
        <v>1.0</v>
      </c>
      <c r="AH30" s="15"/>
      <c r="AI30" s="15"/>
      <c r="AJ30" s="15"/>
      <c r="AK30" s="15"/>
      <c r="AL30" s="17">
        <f t="shared" si="2"/>
        <v>371.735</v>
      </c>
      <c r="AM30" s="17">
        <f t="shared" si="3"/>
        <v>690.365</v>
      </c>
      <c r="AN30" s="11" t="s">
        <v>55</v>
      </c>
      <c r="AO30" s="11" t="s">
        <v>1</v>
      </c>
      <c r="AP30" s="11" t="s">
        <v>56</v>
      </c>
      <c r="AQ30" s="18">
        <v>464.5</v>
      </c>
      <c r="AR30" s="19" t="s">
        <v>178</v>
      </c>
      <c r="AS30" s="20">
        <v>44606.0</v>
      </c>
      <c r="AT30" s="18">
        <v>488.44</v>
      </c>
      <c r="AU30" s="19" t="s">
        <v>179</v>
      </c>
      <c r="AV30" s="20">
        <v>44606.0</v>
      </c>
      <c r="AW30" s="18">
        <v>640.21</v>
      </c>
      <c r="AX30" s="19" t="s">
        <v>180</v>
      </c>
      <c r="AY30" s="20">
        <v>44606.0</v>
      </c>
      <c r="AZ30" s="17">
        <f t="shared" si="6"/>
        <v>531.05</v>
      </c>
    </row>
    <row r="31">
      <c r="A31" s="10">
        <v>30.0</v>
      </c>
      <c r="B31" s="11">
        <v>3.011000104001E12</v>
      </c>
      <c r="C31" s="12" t="s">
        <v>181</v>
      </c>
      <c r="D31" s="13" t="s">
        <v>182</v>
      </c>
      <c r="E31" s="11" t="s">
        <v>140</v>
      </c>
      <c r="F31" s="14">
        <v>326297.0</v>
      </c>
      <c r="G31" s="15">
        <f t="shared" si="1"/>
        <v>1</v>
      </c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21"/>
      <c r="AG31" s="21">
        <v>1.0</v>
      </c>
      <c r="AH31" s="15"/>
      <c r="AI31" s="15"/>
      <c r="AJ31" s="15"/>
      <c r="AK31" s="11" t="s">
        <v>63</v>
      </c>
      <c r="AL31" s="17">
        <f t="shared" si="2"/>
        <v>272.6313333</v>
      </c>
      <c r="AM31" s="17">
        <f t="shared" si="3"/>
        <v>506.3153333</v>
      </c>
      <c r="AN31" s="11" t="s">
        <v>55</v>
      </c>
      <c r="AO31" s="11" t="s">
        <v>1</v>
      </c>
      <c r="AP31" s="11" t="s">
        <v>56</v>
      </c>
      <c r="AQ31" s="18">
        <v>392.46</v>
      </c>
      <c r="AR31" s="19" t="s">
        <v>183</v>
      </c>
      <c r="AS31" s="20">
        <v>44606.0</v>
      </c>
      <c r="AT31" s="18">
        <v>376.9</v>
      </c>
      <c r="AU31" s="19" t="s">
        <v>184</v>
      </c>
      <c r="AV31" s="20">
        <v>44606.0</v>
      </c>
      <c r="AW31" s="18">
        <v>399.06</v>
      </c>
      <c r="AX31" s="19" t="s">
        <v>185</v>
      </c>
      <c r="AY31" s="20">
        <v>44606.0</v>
      </c>
      <c r="AZ31" s="17">
        <f t="shared" si="6"/>
        <v>389.4733333</v>
      </c>
    </row>
    <row r="32">
      <c r="A32" s="10">
        <v>31.0</v>
      </c>
      <c r="B32" s="11">
        <v>2.100000049E10</v>
      </c>
      <c r="C32" s="12" t="s">
        <v>186</v>
      </c>
      <c r="D32" s="13" t="s">
        <v>187</v>
      </c>
      <c r="E32" s="11" t="s">
        <v>140</v>
      </c>
      <c r="F32" s="14">
        <v>338021.0</v>
      </c>
      <c r="G32" s="15">
        <f t="shared" si="1"/>
        <v>1</v>
      </c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21">
        <v>1.0</v>
      </c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7" t="str">
        <f t="shared" si="2"/>
        <v>#DIV/0!</v>
      </c>
      <c r="AM32" s="17" t="str">
        <f t="shared" si="3"/>
        <v>#DIV/0!</v>
      </c>
      <c r="AN32" s="11" t="s">
        <v>55</v>
      </c>
      <c r="AO32" s="11" t="s">
        <v>1</v>
      </c>
      <c r="AP32" s="11" t="s">
        <v>56</v>
      </c>
      <c r="AQ32" s="23"/>
      <c r="AR32" s="24"/>
      <c r="AS32" s="15"/>
      <c r="AT32" s="23"/>
      <c r="AU32" s="24"/>
      <c r="AV32" s="15"/>
      <c r="AW32" s="23"/>
      <c r="AX32" s="24"/>
      <c r="AY32" s="15"/>
      <c r="AZ32" s="17" t="str">
        <f t="shared" si="6"/>
        <v>#DIV/0!</v>
      </c>
    </row>
    <row r="33">
      <c r="A33" s="10">
        <v>32.0</v>
      </c>
      <c r="B33" s="11">
        <v>2.1000000491E10</v>
      </c>
      <c r="C33" s="12" t="s">
        <v>188</v>
      </c>
      <c r="D33" s="13" t="s">
        <v>189</v>
      </c>
      <c r="E33" s="11" t="s">
        <v>140</v>
      </c>
      <c r="F33" s="14">
        <v>326299.0</v>
      </c>
      <c r="G33" s="15">
        <f t="shared" si="1"/>
        <v>1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21"/>
      <c r="AG33" s="21">
        <v>1.0</v>
      </c>
      <c r="AH33" s="15"/>
      <c r="AI33" s="15"/>
      <c r="AJ33" s="15"/>
      <c r="AK33" s="15"/>
      <c r="AL33" s="17">
        <f t="shared" si="2"/>
        <v>380.2306667</v>
      </c>
      <c r="AM33" s="17">
        <f t="shared" si="3"/>
        <v>706.1426667</v>
      </c>
      <c r="AN33" s="11" t="s">
        <v>55</v>
      </c>
      <c r="AO33" s="11" t="s">
        <v>1</v>
      </c>
      <c r="AP33" s="11" t="s">
        <v>56</v>
      </c>
      <c r="AQ33" s="18">
        <v>438.77</v>
      </c>
      <c r="AR33" s="19" t="s">
        <v>190</v>
      </c>
      <c r="AS33" s="20">
        <v>44606.0</v>
      </c>
      <c r="AT33" s="18">
        <v>565.11</v>
      </c>
      <c r="AU33" s="19" t="s">
        <v>191</v>
      </c>
      <c r="AV33" s="20">
        <v>44606.0</v>
      </c>
      <c r="AW33" s="18">
        <v>625.68</v>
      </c>
      <c r="AX33" s="19" t="s">
        <v>192</v>
      </c>
      <c r="AY33" s="20">
        <v>44606.0</v>
      </c>
      <c r="AZ33" s="17">
        <f t="shared" si="6"/>
        <v>543.1866667</v>
      </c>
    </row>
    <row r="34">
      <c r="A34" s="10">
        <v>33.0</v>
      </c>
      <c r="B34" s="11">
        <v>2.1000000492E10</v>
      </c>
      <c r="C34" s="12" t="s">
        <v>193</v>
      </c>
      <c r="D34" s="13" t="s">
        <v>194</v>
      </c>
      <c r="E34" s="11" t="s">
        <v>140</v>
      </c>
      <c r="F34" s="14">
        <v>326812.0</v>
      </c>
      <c r="G34" s="15">
        <f t="shared" si="1"/>
        <v>1</v>
      </c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21"/>
      <c r="AG34" s="21">
        <v>1.0</v>
      </c>
      <c r="AH34" s="15"/>
      <c r="AI34" s="15"/>
      <c r="AJ34" s="15"/>
      <c r="AK34" s="15"/>
      <c r="AL34" s="17">
        <f t="shared" si="2"/>
        <v>289.4185</v>
      </c>
      <c r="AM34" s="17">
        <f t="shared" si="3"/>
        <v>537.4915</v>
      </c>
      <c r="AN34" s="11" t="s">
        <v>55</v>
      </c>
      <c r="AO34" s="11" t="s">
        <v>1</v>
      </c>
      <c r="AP34" s="11" t="s">
        <v>56</v>
      </c>
      <c r="AQ34" s="18" t="s">
        <v>195</v>
      </c>
      <c r="AR34" s="19" t="s">
        <v>196</v>
      </c>
      <c r="AS34" s="20">
        <v>44606.0</v>
      </c>
      <c r="AT34" s="18">
        <v>439.0</v>
      </c>
      <c r="AU34" s="19" t="s">
        <v>197</v>
      </c>
      <c r="AV34" s="20">
        <v>44606.0</v>
      </c>
      <c r="AW34" s="18">
        <v>387.91</v>
      </c>
      <c r="AX34" s="19" t="s">
        <v>198</v>
      </c>
      <c r="AY34" s="20">
        <v>44606.0</v>
      </c>
      <c r="AZ34" s="17">
        <f t="shared" si="6"/>
        <v>413.455</v>
      </c>
    </row>
    <row r="35">
      <c r="A35" s="10">
        <v>34.0</v>
      </c>
      <c r="B35" s="11">
        <v>2.1000000494E10</v>
      </c>
      <c r="C35" s="12" t="s">
        <v>199</v>
      </c>
      <c r="D35" s="13" t="s">
        <v>200</v>
      </c>
      <c r="E35" s="11" t="s">
        <v>140</v>
      </c>
      <c r="F35" s="14">
        <v>326303.0</v>
      </c>
      <c r="G35" s="15">
        <f t="shared" si="1"/>
        <v>1</v>
      </c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21"/>
      <c r="AG35" s="21">
        <v>1.0</v>
      </c>
      <c r="AH35" s="15"/>
      <c r="AI35" s="15"/>
      <c r="AJ35" s="15"/>
      <c r="AK35" s="15"/>
      <c r="AL35" s="17">
        <f t="shared" si="2"/>
        <v>281.4466667</v>
      </c>
      <c r="AM35" s="17">
        <f t="shared" si="3"/>
        <v>522.6866667</v>
      </c>
      <c r="AN35" s="11" t="s">
        <v>55</v>
      </c>
      <c r="AO35" s="11" t="s">
        <v>1</v>
      </c>
      <c r="AP35" s="11" t="s">
        <v>56</v>
      </c>
      <c r="AQ35" s="18">
        <v>409.19</v>
      </c>
      <c r="AR35" s="19" t="s">
        <v>201</v>
      </c>
      <c r="AS35" s="20">
        <v>44606.0</v>
      </c>
      <c r="AT35" s="18">
        <v>411.0</v>
      </c>
      <c r="AU35" s="19" t="s">
        <v>202</v>
      </c>
      <c r="AV35" s="20">
        <v>44606.0</v>
      </c>
      <c r="AW35" s="18">
        <v>386.01</v>
      </c>
      <c r="AX35" s="19" t="s">
        <v>203</v>
      </c>
      <c r="AY35" s="20">
        <v>44606.0</v>
      </c>
      <c r="AZ35" s="17">
        <f t="shared" si="6"/>
        <v>402.0666667</v>
      </c>
    </row>
    <row r="36">
      <c r="A36" s="10">
        <v>35.0</v>
      </c>
      <c r="B36" s="11">
        <v>2.1000000511E10</v>
      </c>
      <c r="C36" s="12" t="s">
        <v>204</v>
      </c>
      <c r="D36" s="13" t="s">
        <v>205</v>
      </c>
      <c r="E36" s="11" t="s">
        <v>140</v>
      </c>
      <c r="F36" s="14">
        <v>326867.0</v>
      </c>
      <c r="G36" s="15">
        <f t="shared" si="1"/>
        <v>1</v>
      </c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21"/>
      <c r="AG36" s="21">
        <v>1.0</v>
      </c>
      <c r="AH36" s="15"/>
      <c r="AI36" s="15"/>
      <c r="AJ36" s="15"/>
      <c r="AK36" s="11" t="s">
        <v>63</v>
      </c>
      <c r="AL36" s="17">
        <f t="shared" si="2"/>
        <v>300.272</v>
      </c>
      <c r="AM36" s="17">
        <f t="shared" si="3"/>
        <v>557.648</v>
      </c>
      <c r="AN36" s="11" t="s">
        <v>55</v>
      </c>
      <c r="AO36" s="11" t="s">
        <v>1</v>
      </c>
      <c r="AP36" s="11" t="s">
        <v>56</v>
      </c>
      <c r="AQ36" s="18">
        <v>341.0</v>
      </c>
      <c r="AR36" s="19" t="s">
        <v>206</v>
      </c>
      <c r="AS36" s="20">
        <v>44606.0</v>
      </c>
      <c r="AT36" s="18">
        <v>444.62</v>
      </c>
      <c r="AU36" s="19" t="s">
        <v>207</v>
      </c>
      <c r="AV36" s="20">
        <v>44606.0</v>
      </c>
      <c r="AW36" s="18">
        <v>501.26</v>
      </c>
      <c r="AX36" s="19" t="s">
        <v>208</v>
      </c>
      <c r="AY36" s="20">
        <v>44606.0</v>
      </c>
      <c r="AZ36" s="17">
        <f t="shared" si="6"/>
        <v>428.96</v>
      </c>
    </row>
    <row r="37">
      <c r="A37" s="10">
        <v>36.0</v>
      </c>
      <c r="B37" s="11">
        <v>2.1000000385E10</v>
      </c>
      <c r="C37" s="12" t="s">
        <v>209</v>
      </c>
      <c r="D37" s="13" t="s">
        <v>210</v>
      </c>
      <c r="E37" s="11" t="s">
        <v>211</v>
      </c>
      <c r="F37" s="14">
        <v>352317.0</v>
      </c>
      <c r="G37" s="15">
        <f t="shared" si="1"/>
        <v>8</v>
      </c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21">
        <v>8.0</v>
      </c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1" t="s">
        <v>63</v>
      </c>
      <c r="AL37" s="17">
        <f t="shared" si="2"/>
        <v>11.641</v>
      </c>
      <c r="AM37" s="17">
        <f t="shared" si="3"/>
        <v>21.619</v>
      </c>
      <c r="AN37" s="11" t="s">
        <v>55</v>
      </c>
      <c r="AO37" s="11" t="s">
        <v>1</v>
      </c>
      <c r="AP37" s="11" t="s">
        <v>56</v>
      </c>
      <c r="AQ37" s="18">
        <v>12.9</v>
      </c>
      <c r="AR37" s="22" t="s">
        <v>212</v>
      </c>
      <c r="AS37" s="20">
        <v>44604.0</v>
      </c>
      <c r="AT37" s="18">
        <v>22.0</v>
      </c>
      <c r="AU37" s="22" t="s">
        <v>213</v>
      </c>
      <c r="AV37" s="20">
        <v>44604.0</v>
      </c>
      <c r="AW37" s="18">
        <v>14.99</v>
      </c>
      <c r="AX37" s="22" t="s">
        <v>214</v>
      </c>
      <c r="AY37" s="20">
        <v>44604.0</v>
      </c>
      <c r="AZ37" s="17">
        <f t="shared" si="6"/>
        <v>16.63</v>
      </c>
    </row>
    <row r="38">
      <c r="A38" s="10">
        <v>37.0</v>
      </c>
      <c r="B38" s="11">
        <v>2.1000000512E10</v>
      </c>
      <c r="C38" s="12" t="s">
        <v>215</v>
      </c>
      <c r="D38" s="13" t="s">
        <v>216</v>
      </c>
      <c r="E38" s="11" t="s">
        <v>140</v>
      </c>
      <c r="F38" s="14">
        <v>392832.0</v>
      </c>
      <c r="G38" s="15">
        <f t="shared" si="1"/>
        <v>1</v>
      </c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21"/>
      <c r="AG38" s="21">
        <v>1.0</v>
      </c>
      <c r="AH38" s="15"/>
      <c r="AI38" s="15"/>
      <c r="AJ38" s="15"/>
      <c r="AK38" s="11" t="s">
        <v>63</v>
      </c>
      <c r="AL38" s="17">
        <f t="shared" si="2"/>
        <v>251.4423333</v>
      </c>
      <c r="AM38" s="17">
        <f t="shared" si="3"/>
        <v>466.9643333</v>
      </c>
      <c r="AN38" s="11" t="s">
        <v>55</v>
      </c>
      <c r="AO38" s="11" t="s">
        <v>1</v>
      </c>
      <c r="AP38" s="11" t="s">
        <v>56</v>
      </c>
      <c r="AQ38" s="18">
        <v>330.31</v>
      </c>
      <c r="AR38" s="19" t="s">
        <v>217</v>
      </c>
      <c r="AS38" s="20">
        <v>44606.0</v>
      </c>
      <c r="AT38" s="18">
        <v>417.06</v>
      </c>
      <c r="AU38" s="19" t="s">
        <v>218</v>
      </c>
      <c r="AV38" s="20">
        <v>44606.0</v>
      </c>
      <c r="AW38" s="18">
        <v>330.24</v>
      </c>
      <c r="AX38" s="19" t="s">
        <v>219</v>
      </c>
      <c r="AY38" s="20">
        <v>44606.0</v>
      </c>
      <c r="AZ38" s="17">
        <f t="shared" si="6"/>
        <v>359.2033333</v>
      </c>
    </row>
    <row r="39">
      <c r="A39" s="10">
        <v>38.0</v>
      </c>
      <c r="B39" s="11">
        <v>2.1000000127E10</v>
      </c>
      <c r="C39" s="12" t="s">
        <v>220</v>
      </c>
      <c r="D39" s="13" t="s">
        <v>221</v>
      </c>
      <c r="E39" s="11" t="s">
        <v>140</v>
      </c>
      <c r="F39" s="14">
        <v>327370.0</v>
      </c>
      <c r="G39" s="15">
        <f t="shared" si="1"/>
        <v>4</v>
      </c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21">
        <v>4.0</v>
      </c>
      <c r="AJ39" s="15"/>
      <c r="AK39" s="11" t="s">
        <v>63</v>
      </c>
      <c r="AL39" s="17">
        <f t="shared" si="2"/>
        <v>16.93533333</v>
      </c>
      <c r="AM39" s="17">
        <f t="shared" si="3"/>
        <v>31.45133333</v>
      </c>
      <c r="AN39" s="11" t="s">
        <v>55</v>
      </c>
      <c r="AO39" s="11" t="s">
        <v>1</v>
      </c>
      <c r="AP39" s="11" t="s">
        <v>56</v>
      </c>
      <c r="AQ39" s="18">
        <v>22.44</v>
      </c>
      <c r="AR39" s="22" t="s">
        <v>222</v>
      </c>
      <c r="AS39" s="20">
        <v>44604.0</v>
      </c>
      <c r="AT39" s="11">
        <v>20.0</v>
      </c>
      <c r="AU39" s="31" t="s">
        <v>223</v>
      </c>
      <c r="AV39" s="20">
        <v>44604.0</v>
      </c>
      <c r="AW39" s="18">
        <v>30.14</v>
      </c>
      <c r="AX39" s="22" t="s">
        <v>224</v>
      </c>
      <c r="AY39" s="20">
        <v>44604.0</v>
      </c>
      <c r="AZ39" s="17">
        <f t="shared" si="6"/>
        <v>24.19333333</v>
      </c>
    </row>
    <row r="40">
      <c r="A40" s="10">
        <v>39.0</v>
      </c>
      <c r="B40" s="11">
        <v>2.1000000048E10</v>
      </c>
      <c r="C40" s="12" t="s">
        <v>225</v>
      </c>
      <c r="D40" s="13" t="s">
        <v>226</v>
      </c>
      <c r="E40" s="11" t="s">
        <v>62</v>
      </c>
      <c r="F40" s="14">
        <v>380790.0</v>
      </c>
      <c r="G40" s="15">
        <f t="shared" si="1"/>
        <v>2</v>
      </c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21">
        <v>2.0</v>
      </c>
      <c r="AJ40" s="15"/>
      <c r="AK40" s="11" t="s">
        <v>63</v>
      </c>
      <c r="AL40" s="17">
        <f t="shared" si="2"/>
        <v>51.56666667</v>
      </c>
      <c r="AM40" s="17">
        <f t="shared" si="3"/>
        <v>95.76666667</v>
      </c>
      <c r="AN40" s="11" t="s">
        <v>55</v>
      </c>
      <c r="AO40" s="11" t="s">
        <v>1</v>
      </c>
      <c r="AP40" s="11" t="s">
        <v>56</v>
      </c>
      <c r="AQ40" s="18">
        <v>64.69</v>
      </c>
      <c r="AR40" s="32" t="s">
        <v>227</v>
      </c>
      <c r="AS40" s="20">
        <v>44607.0</v>
      </c>
      <c r="AT40" s="18">
        <v>91.66</v>
      </c>
      <c r="AU40" s="32" t="s">
        <v>228</v>
      </c>
      <c r="AV40" s="20">
        <v>44607.0</v>
      </c>
      <c r="AW40" s="18">
        <v>64.65</v>
      </c>
      <c r="AX40" s="32" t="s">
        <v>229</v>
      </c>
      <c r="AY40" s="11" t="s">
        <v>230</v>
      </c>
      <c r="AZ40" s="17">
        <f t="shared" si="6"/>
        <v>73.66666667</v>
      </c>
    </row>
    <row r="41">
      <c r="A41" s="10">
        <v>40.0</v>
      </c>
      <c r="B41" s="11">
        <v>2.1000000495E10</v>
      </c>
      <c r="C41" s="12" t="s">
        <v>231</v>
      </c>
      <c r="D41" s="13" t="s">
        <v>232</v>
      </c>
      <c r="E41" s="11" t="s">
        <v>62</v>
      </c>
      <c r="F41" s="14">
        <v>269941.0</v>
      </c>
      <c r="G41" s="15">
        <f t="shared" si="1"/>
        <v>384</v>
      </c>
      <c r="H41" s="11">
        <v>12.0</v>
      </c>
      <c r="I41" s="15"/>
      <c r="J41" s="15"/>
      <c r="K41" s="15"/>
      <c r="L41" s="15"/>
      <c r="M41" s="11"/>
      <c r="N41" s="11">
        <v>43.0</v>
      </c>
      <c r="O41" s="15"/>
      <c r="P41" s="11">
        <v>30.0</v>
      </c>
      <c r="Q41" s="15"/>
      <c r="R41" s="15"/>
      <c r="S41" s="15"/>
      <c r="T41" s="11">
        <v>200.0</v>
      </c>
      <c r="U41" s="15"/>
      <c r="V41" s="15"/>
      <c r="W41" s="15"/>
      <c r="X41" s="15"/>
      <c r="Y41" s="11">
        <v>40.0</v>
      </c>
      <c r="Z41" s="15"/>
      <c r="AA41" s="15"/>
      <c r="AB41" s="11">
        <v>9.0</v>
      </c>
      <c r="AC41" s="15"/>
      <c r="AD41" s="15"/>
      <c r="AE41" s="15"/>
      <c r="AF41" s="15"/>
      <c r="AG41" s="15"/>
      <c r="AH41" s="21">
        <v>50.0</v>
      </c>
      <c r="AI41" s="15"/>
      <c r="AJ41" s="15"/>
      <c r="AK41" s="15"/>
      <c r="AL41" s="17">
        <f t="shared" si="2"/>
        <v>6.857666667</v>
      </c>
      <c r="AM41" s="17">
        <f t="shared" si="3"/>
        <v>12.73566667</v>
      </c>
      <c r="AN41" s="11" t="s">
        <v>55</v>
      </c>
      <c r="AO41" s="11" t="s">
        <v>1</v>
      </c>
      <c r="AP41" s="11" t="s">
        <v>56</v>
      </c>
      <c r="AQ41" s="18">
        <v>11.0</v>
      </c>
      <c r="AR41" s="22" t="s">
        <v>233</v>
      </c>
      <c r="AS41" s="20">
        <v>44609.0</v>
      </c>
      <c r="AT41" s="18">
        <v>7.89</v>
      </c>
      <c r="AU41" s="22" t="s">
        <v>234</v>
      </c>
      <c r="AV41" s="20">
        <v>44609.0</v>
      </c>
      <c r="AW41" s="18">
        <v>10.5</v>
      </c>
      <c r="AX41" s="22" t="s">
        <v>235</v>
      </c>
      <c r="AY41" s="20">
        <v>44609.0</v>
      </c>
      <c r="AZ41" s="17">
        <f t="shared" si="6"/>
        <v>9.796666667</v>
      </c>
    </row>
    <row r="42">
      <c r="A42" s="10">
        <v>41.0</v>
      </c>
      <c r="B42" s="11">
        <v>2.1000000496E10</v>
      </c>
      <c r="C42" s="12" t="s">
        <v>236</v>
      </c>
      <c r="D42" s="13" t="s">
        <v>237</v>
      </c>
      <c r="E42" s="11" t="s">
        <v>211</v>
      </c>
      <c r="F42" s="14">
        <v>443454.0</v>
      </c>
      <c r="G42" s="15">
        <f t="shared" si="1"/>
        <v>20</v>
      </c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21"/>
      <c r="AG42" s="16">
        <v>20.0</v>
      </c>
      <c r="AH42" s="15"/>
      <c r="AI42" s="15"/>
      <c r="AJ42" s="15"/>
      <c r="AK42" s="15"/>
      <c r="AL42" s="17">
        <f t="shared" si="2"/>
        <v>34.23</v>
      </c>
      <c r="AM42" s="17">
        <f t="shared" si="3"/>
        <v>63.57</v>
      </c>
      <c r="AN42" s="11" t="s">
        <v>55</v>
      </c>
      <c r="AO42" s="11" t="s">
        <v>1</v>
      </c>
      <c r="AP42" s="11" t="s">
        <v>56</v>
      </c>
      <c r="AQ42" s="18">
        <v>48.9</v>
      </c>
      <c r="AR42" s="22" t="s">
        <v>238</v>
      </c>
      <c r="AS42" s="20">
        <v>44609.0</v>
      </c>
      <c r="AT42" s="23"/>
      <c r="AU42" s="24"/>
      <c r="AV42" s="20"/>
      <c r="AW42" s="23"/>
      <c r="AX42" s="24"/>
      <c r="AY42" s="20"/>
      <c r="AZ42" s="17">
        <f t="shared" si="6"/>
        <v>48.9</v>
      </c>
    </row>
    <row r="43">
      <c r="A43" s="10">
        <v>42.0</v>
      </c>
      <c r="B43" s="11">
        <v>2.1000000497E10</v>
      </c>
      <c r="C43" s="12" t="s">
        <v>239</v>
      </c>
      <c r="D43" s="13" t="s">
        <v>240</v>
      </c>
      <c r="E43" s="11" t="s">
        <v>62</v>
      </c>
      <c r="F43" s="14">
        <v>376801.0</v>
      </c>
      <c r="G43" s="15">
        <f t="shared" si="1"/>
        <v>30</v>
      </c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21">
        <v>30.0</v>
      </c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7">
        <f t="shared" si="2"/>
        <v>12.17533333</v>
      </c>
      <c r="AM43" s="17">
        <f t="shared" si="3"/>
        <v>22.61133333</v>
      </c>
      <c r="AN43" s="11" t="s">
        <v>55</v>
      </c>
      <c r="AO43" s="11" t="s">
        <v>1</v>
      </c>
      <c r="AP43" s="11" t="s">
        <v>56</v>
      </c>
      <c r="AQ43" s="18">
        <v>19.9</v>
      </c>
      <c r="AR43" s="22" t="s">
        <v>241</v>
      </c>
      <c r="AS43" s="20">
        <v>44609.0</v>
      </c>
      <c r="AT43" s="18">
        <v>19.9</v>
      </c>
      <c r="AU43" s="22" t="s">
        <v>242</v>
      </c>
      <c r="AV43" s="20">
        <v>44609.0</v>
      </c>
      <c r="AW43" s="23">
        <f>61.9/5</f>
        <v>12.38</v>
      </c>
      <c r="AX43" s="22" t="s">
        <v>243</v>
      </c>
      <c r="AY43" s="20">
        <v>44609.0</v>
      </c>
      <c r="AZ43" s="17">
        <f t="shared" si="6"/>
        <v>17.39333333</v>
      </c>
    </row>
    <row r="44">
      <c r="A44" s="10">
        <v>43.0</v>
      </c>
      <c r="B44" s="11">
        <v>2.1000000084E10</v>
      </c>
      <c r="C44" s="12" t="s">
        <v>244</v>
      </c>
      <c r="D44" s="13" t="s">
        <v>245</v>
      </c>
      <c r="E44" s="11" t="s">
        <v>62</v>
      </c>
      <c r="F44" s="14">
        <v>357239.0</v>
      </c>
      <c r="G44" s="15">
        <f t="shared" si="1"/>
        <v>673</v>
      </c>
      <c r="H44" s="11">
        <v>100.0</v>
      </c>
      <c r="I44" s="11"/>
      <c r="J44" s="11">
        <v>2.0</v>
      </c>
      <c r="K44" s="15"/>
      <c r="L44" s="15"/>
      <c r="M44" s="11"/>
      <c r="N44" s="11"/>
      <c r="O44" s="11">
        <v>10.0</v>
      </c>
      <c r="P44" s="11">
        <v>30.0</v>
      </c>
      <c r="Q44" s="15"/>
      <c r="R44" s="11">
        <v>10.0</v>
      </c>
      <c r="S44" s="15"/>
      <c r="T44" s="21"/>
      <c r="U44" s="21">
        <v>5.0</v>
      </c>
      <c r="V44" s="15"/>
      <c r="W44" s="15"/>
      <c r="X44" s="21">
        <v>486.0</v>
      </c>
      <c r="Y44" s="15"/>
      <c r="Z44" s="15"/>
      <c r="AA44" s="15"/>
      <c r="AB44" s="11">
        <f>11+4</f>
        <v>15</v>
      </c>
      <c r="AC44" s="15"/>
      <c r="AD44" s="15"/>
      <c r="AE44" s="15"/>
      <c r="AF44" s="15"/>
      <c r="AG44" s="15"/>
      <c r="AH44" s="15"/>
      <c r="AI44" s="15"/>
      <c r="AJ44" s="11">
        <v>15.0</v>
      </c>
      <c r="AK44" s="11" t="s">
        <v>63</v>
      </c>
      <c r="AL44" s="17">
        <f t="shared" si="2"/>
        <v>19.31066667</v>
      </c>
      <c r="AM44" s="17">
        <f t="shared" si="3"/>
        <v>35.86266667</v>
      </c>
      <c r="AN44" s="11" t="s">
        <v>55</v>
      </c>
      <c r="AO44" s="11" t="s">
        <v>1</v>
      </c>
      <c r="AP44" s="11" t="s">
        <v>56</v>
      </c>
      <c r="AQ44" s="23">
        <f>124.45/5 </f>
        <v>24.89</v>
      </c>
      <c r="AR44" s="22" t="s">
        <v>246</v>
      </c>
      <c r="AS44" s="20">
        <v>44609.0</v>
      </c>
      <c r="AT44" s="18">
        <v>22.47</v>
      </c>
      <c r="AU44" s="22" t="s">
        <v>247</v>
      </c>
      <c r="AV44" s="20">
        <v>44609.0</v>
      </c>
      <c r="AW44" s="18">
        <v>35.4</v>
      </c>
      <c r="AX44" s="22" t="s">
        <v>248</v>
      </c>
      <c r="AY44" s="20">
        <v>44609.0</v>
      </c>
      <c r="AZ44" s="17">
        <f t="shared" si="6"/>
        <v>27.58666667</v>
      </c>
    </row>
    <row r="45">
      <c r="A45" s="10">
        <v>44.0</v>
      </c>
      <c r="B45" s="11">
        <v>2.1000000498E10</v>
      </c>
      <c r="C45" s="12" t="s">
        <v>249</v>
      </c>
      <c r="D45" s="13" t="s">
        <v>250</v>
      </c>
      <c r="E45" s="11" t="s">
        <v>62</v>
      </c>
      <c r="F45" s="14">
        <v>445457.0</v>
      </c>
      <c r="G45" s="15">
        <f t="shared" si="1"/>
        <v>20</v>
      </c>
      <c r="H45" s="11">
        <v>10.0</v>
      </c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21">
        <v>10.0</v>
      </c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7" t="str">
        <f t="shared" si="2"/>
        <v>#DIV/0!</v>
      </c>
      <c r="AM45" s="17" t="str">
        <f t="shared" si="3"/>
        <v>#DIV/0!</v>
      </c>
      <c r="AN45" s="11" t="s">
        <v>55</v>
      </c>
      <c r="AO45" s="11" t="s">
        <v>1</v>
      </c>
      <c r="AP45" s="11" t="s">
        <v>56</v>
      </c>
      <c r="AQ45" s="23"/>
      <c r="AR45" s="24"/>
      <c r="AS45" s="15"/>
      <c r="AT45" s="23"/>
      <c r="AU45" s="24"/>
      <c r="AV45" s="15"/>
      <c r="AW45" s="23"/>
      <c r="AX45" s="24"/>
      <c r="AY45" s="15"/>
      <c r="AZ45" s="17" t="str">
        <f t="shared" si="6"/>
        <v>#DIV/0!</v>
      </c>
    </row>
    <row r="46">
      <c r="A46" s="10">
        <v>45.0</v>
      </c>
      <c r="B46" s="11">
        <v>2.1000000083E10</v>
      </c>
      <c r="C46" s="12" t="s">
        <v>251</v>
      </c>
      <c r="D46" s="13" t="s">
        <v>252</v>
      </c>
      <c r="E46" s="11" t="s">
        <v>62</v>
      </c>
      <c r="F46" s="14">
        <v>444849.0</v>
      </c>
      <c r="G46" s="15">
        <f t="shared" si="1"/>
        <v>1015</v>
      </c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>
        <v>1010.0</v>
      </c>
      <c r="AD46" s="15"/>
      <c r="AE46" s="15"/>
      <c r="AF46" s="15"/>
      <c r="AG46" s="15"/>
      <c r="AH46" s="11">
        <v>5.0</v>
      </c>
      <c r="AI46" s="15"/>
      <c r="AJ46" s="15"/>
      <c r="AK46" s="11" t="s">
        <v>63</v>
      </c>
      <c r="AL46" s="17">
        <f t="shared" si="2"/>
        <v>9.139666667</v>
      </c>
      <c r="AM46" s="17">
        <f t="shared" si="3"/>
        <v>16.97366667</v>
      </c>
      <c r="AN46" s="11" t="s">
        <v>55</v>
      </c>
      <c r="AO46" s="11" t="s">
        <v>1</v>
      </c>
      <c r="AP46" s="11" t="s">
        <v>56</v>
      </c>
      <c r="AQ46" s="18">
        <v>13.36</v>
      </c>
      <c r="AR46" s="22" t="s">
        <v>253</v>
      </c>
      <c r="AS46" s="20">
        <v>44609.0</v>
      </c>
      <c r="AT46" s="18">
        <v>12.4</v>
      </c>
      <c r="AU46" s="22" t="s">
        <v>254</v>
      </c>
      <c r="AV46" s="20">
        <v>44609.0</v>
      </c>
      <c r="AW46" s="18">
        <v>13.41</v>
      </c>
      <c r="AX46" s="22" t="s">
        <v>255</v>
      </c>
      <c r="AY46" s="20">
        <v>44609.0</v>
      </c>
      <c r="AZ46" s="17">
        <f t="shared" si="6"/>
        <v>13.05666667</v>
      </c>
    </row>
    <row r="47">
      <c r="A47" s="10">
        <v>46.0</v>
      </c>
      <c r="B47" s="11">
        <v>2.1000000096E10</v>
      </c>
      <c r="C47" s="12" t="s">
        <v>256</v>
      </c>
      <c r="D47" s="13" t="s">
        <v>257</v>
      </c>
      <c r="E47" s="11" t="s">
        <v>62</v>
      </c>
      <c r="F47" s="14">
        <v>443272.0</v>
      </c>
      <c r="G47" s="15">
        <f t="shared" si="1"/>
        <v>2</v>
      </c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21">
        <v>2.0</v>
      </c>
      <c r="AF47" s="15"/>
      <c r="AG47" s="15"/>
      <c r="AH47" s="15"/>
      <c r="AI47" s="15"/>
      <c r="AJ47" s="15"/>
      <c r="AK47" s="11"/>
      <c r="AL47" s="17">
        <f t="shared" si="2"/>
        <v>89.01666667</v>
      </c>
      <c r="AM47" s="17">
        <f t="shared" si="3"/>
        <v>165.3166667</v>
      </c>
      <c r="AN47" s="11" t="s">
        <v>55</v>
      </c>
      <c r="AO47" s="11" t="s">
        <v>1</v>
      </c>
      <c r="AP47" s="11" t="s">
        <v>56</v>
      </c>
      <c r="AQ47" s="18">
        <v>169.0</v>
      </c>
      <c r="AR47" s="32" t="s">
        <v>258</v>
      </c>
      <c r="AS47" s="20">
        <v>44607.0</v>
      </c>
      <c r="AT47" s="18">
        <v>112.5</v>
      </c>
      <c r="AU47" s="33" t="s">
        <v>259</v>
      </c>
      <c r="AV47" s="20">
        <v>44607.0</v>
      </c>
      <c r="AW47" s="18">
        <v>100.0</v>
      </c>
      <c r="AX47" s="32" t="s">
        <v>260</v>
      </c>
      <c r="AY47" s="20">
        <v>44607.0</v>
      </c>
      <c r="AZ47" s="17">
        <f t="shared" si="6"/>
        <v>127.1666667</v>
      </c>
    </row>
    <row r="48">
      <c r="A48" s="10">
        <v>47.0</v>
      </c>
      <c r="B48" s="11">
        <v>2.1000000091E10</v>
      </c>
      <c r="C48" s="12" t="s">
        <v>261</v>
      </c>
      <c r="D48" s="13" t="s">
        <v>262</v>
      </c>
      <c r="E48" s="11" t="s">
        <v>62</v>
      </c>
      <c r="F48" s="14">
        <v>375971.0</v>
      </c>
      <c r="G48" s="15">
        <f t="shared" si="1"/>
        <v>1</v>
      </c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21">
        <v>1.0</v>
      </c>
      <c r="AC48" s="15"/>
      <c r="AD48" s="15"/>
      <c r="AE48" s="15"/>
      <c r="AF48" s="15"/>
      <c r="AG48" s="15"/>
      <c r="AH48" s="15"/>
      <c r="AI48" s="15"/>
      <c r="AJ48" s="15"/>
      <c r="AK48" s="11"/>
      <c r="AL48" s="17">
        <f t="shared" si="2"/>
        <v>38.059</v>
      </c>
      <c r="AM48" s="17">
        <f t="shared" si="3"/>
        <v>70.681</v>
      </c>
      <c r="AN48" s="11" t="s">
        <v>55</v>
      </c>
      <c r="AO48" s="11" t="s">
        <v>1</v>
      </c>
      <c r="AP48" s="11" t="s">
        <v>56</v>
      </c>
      <c r="AQ48" s="18">
        <v>58.33</v>
      </c>
      <c r="AR48" s="32" t="s">
        <v>263</v>
      </c>
      <c r="AS48" s="20">
        <v>44607.0</v>
      </c>
      <c r="AT48" s="18">
        <v>39.35</v>
      </c>
      <c r="AU48" s="32" t="s">
        <v>227</v>
      </c>
      <c r="AV48" s="20">
        <v>44607.0</v>
      </c>
      <c r="AW48" s="18">
        <v>65.43</v>
      </c>
      <c r="AX48" s="32" t="s">
        <v>264</v>
      </c>
      <c r="AY48" s="20">
        <v>44607.0</v>
      </c>
      <c r="AZ48" s="17">
        <f t="shared" si="6"/>
        <v>54.37</v>
      </c>
    </row>
    <row r="49">
      <c r="A49" s="10">
        <v>48.0</v>
      </c>
      <c r="B49" s="11">
        <v>2.1000000087E10</v>
      </c>
      <c r="C49" s="12" t="s">
        <v>265</v>
      </c>
      <c r="D49" s="13" t="s">
        <v>266</v>
      </c>
      <c r="E49" s="11" t="s">
        <v>62</v>
      </c>
      <c r="F49" s="14">
        <v>348266.0</v>
      </c>
      <c r="G49" s="15">
        <f t="shared" si="1"/>
        <v>29</v>
      </c>
      <c r="H49" s="15"/>
      <c r="I49" s="15"/>
      <c r="J49" s="15"/>
      <c r="K49" s="15"/>
      <c r="L49" s="15"/>
      <c r="M49" s="21"/>
      <c r="N49" s="21"/>
      <c r="O49" s="21">
        <v>10.0</v>
      </c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1"/>
      <c r="AG49" s="11">
        <v>15.0</v>
      </c>
      <c r="AH49" s="15"/>
      <c r="AI49" s="11">
        <v>4.0</v>
      </c>
      <c r="AJ49" s="15"/>
      <c r="AK49" s="11"/>
      <c r="AL49" s="17">
        <f t="shared" si="2"/>
        <v>15.66833333</v>
      </c>
      <c r="AM49" s="17">
        <f t="shared" si="3"/>
        <v>29.09833333</v>
      </c>
      <c r="AN49" s="11" t="s">
        <v>55</v>
      </c>
      <c r="AO49" s="11" t="s">
        <v>1</v>
      </c>
      <c r="AP49" s="11" t="s">
        <v>56</v>
      </c>
      <c r="AQ49" s="18">
        <v>23.06</v>
      </c>
      <c r="AR49" s="32" t="s">
        <v>267</v>
      </c>
      <c r="AS49" s="20">
        <v>44607.0</v>
      </c>
      <c r="AT49" s="18">
        <v>20.26</v>
      </c>
      <c r="AU49" s="32" t="s">
        <v>227</v>
      </c>
      <c r="AV49" s="20">
        <v>44607.0</v>
      </c>
      <c r="AW49" s="18">
        <v>23.83</v>
      </c>
      <c r="AX49" s="32" t="s">
        <v>268</v>
      </c>
      <c r="AY49" s="20">
        <v>44607.0</v>
      </c>
      <c r="AZ49" s="17">
        <f t="shared" si="6"/>
        <v>22.38333333</v>
      </c>
    </row>
    <row r="50">
      <c r="A50" s="10">
        <v>49.0</v>
      </c>
      <c r="B50" s="11">
        <v>2.1000000086E10</v>
      </c>
      <c r="C50" s="12" t="s">
        <v>269</v>
      </c>
      <c r="D50" s="13" t="s">
        <v>270</v>
      </c>
      <c r="E50" s="11" t="s">
        <v>62</v>
      </c>
      <c r="F50" s="27">
        <v>348267.0</v>
      </c>
      <c r="G50" s="15">
        <f t="shared" si="1"/>
        <v>20</v>
      </c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1">
        <v>15.0</v>
      </c>
      <c r="AF50" s="15"/>
      <c r="AG50" s="15"/>
      <c r="AH50" s="15"/>
      <c r="AI50" s="15"/>
      <c r="AJ50" s="21">
        <v>5.0</v>
      </c>
      <c r="AK50" s="11"/>
      <c r="AL50" s="17">
        <f t="shared" si="2"/>
        <v>38.54433333</v>
      </c>
      <c r="AM50" s="17">
        <f t="shared" si="3"/>
        <v>71.58233333</v>
      </c>
      <c r="AN50" s="11" t="s">
        <v>55</v>
      </c>
      <c r="AO50" s="11" t="s">
        <v>1</v>
      </c>
      <c r="AP50" s="11" t="s">
        <v>56</v>
      </c>
      <c r="AQ50" s="18">
        <v>58.94</v>
      </c>
      <c r="AR50" s="32" t="s">
        <v>271</v>
      </c>
      <c r="AS50" s="20">
        <v>44607.0</v>
      </c>
      <c r="AT50" s="18">
        <v>50.0</v>
      </c>
      <c r="AU50" s="32" t="s">
        <v>272</v>
      </c>
      <c r="AV50" s="20">
        <v>44607.0</v>
      </c>
      <c r="AW50" s="18">
        <v>56.25</v>
      </c>
      <c r="AX50" s="32" t="s">
        <v>273</v>
      </c>
      <c r="AY50" s="20">
        <v>44607.0</v>
      </c>
      <c r="AZ50" s="17">
        <f t="shared" si="6"/>
        <v>55.06333333</v>
      </c>
    </row>
    <row r="51">
      <c r="A51" s="10">
        <v>50.0</v>
      </c>
      <c r="B51" s="11">
        <v>2.1000000097E10</v>
      </c>
      <c r="C51" s="12" t="s">
        <v>274</v>
      </c>
      <c r="D51" s="13" t="s">
        <v>275</v>
      </c>
      <c r="E51" s="11" t="s">
        <v>97</v>
      </c>
      <c r="F51" s="14">
        <v>432146.0</v>
      </c>
      <c r="G51" s="15">
        <f t="shared" si="1"/>
        <v>500</v>
      </c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21">
        <v>500.0</v>
      </c>
      <c r="AI51" s="15"/>
      <c r="AJ51" s="15"/>
      <c r="AK51" s="11" t="s">
        <v>63</v>
      </c>
      <c r="AL51" s="17">
        <f t="shared" si="2"/>
        <v>0.069125</v>
      </c>
      <c r="AM51" s="17">
        <f t="shared" si="3"/>
        <v>0.128375</v>
      </c>
      <c r="AN51" s="11" t="s">
        <v>55</v>
      </c>
      <c r="AO51" s="11" t="s">
        <v>1</v>
      </c>
      <c r="AP51" s="11" t="s">
        <v>56</v>
      </c>
      <c r="AQ51" s="18">
        <f>76.25/500</f>
        <v>0.1525</v>
      </c>
      <c r="AR51" s="19" t="s">
        <v>276</v>
      </c>
      <c r="AS51" s="20">
        <v>44606.0</v>
      </c>
      <c r="AT51" s="18">
        <f>22.5/500</f>
        <v>0.045</v>
      </c>
      <c r="AU51" s="19" t="s">
        <v>277</v>
      </c>
      <c r="AV51" s="20">
        <v>44606.0</v>
      </c>
      <c r="AW51" s="23"/>
      <c r="AX51" s="24"/>
      <c r="AY51" s="15"/>
      <c r="AZ51" s="17">
        <f t="shared" si="6"/>
        <v>0.09875</v>
      </c>
    </row>
    <row r="52" ht="46.5" customHeight="1">
      <c r="A52" s="10">
        <v>51.0</v>
      </c>
      <c r="B52" s="11">
        <v>2.1000000477E10</v>
      </c>
      <c r="C52" s="12" t="s">
        <v>278</v>
      </c>
      <c r="D52" s="13" t="s">
        <v>279</v>
      </c>
      <c r="E52" s="11" t="s">
        <v>140</v>
      </c>
      <c r="F52" s="14">
        <v>327372.0</v>
      </c>
      <c r="G52" s="15">
        <f t="shared" si="1"/>
        <v>2</v>
      </c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21">
        <v>1.0</v>
      </c>
      <c r="T52" s="15"/>
      <c r="U52" s="15"/>
      <c r="V52" s="15"/>
      <c r="W52" s="15"/>
      <c r="X52" s="15"/>
      <c r="Y52" s="15"/>
      <c r="Z52" s="15"/>
      <c r="AA52" s="15"/>
      <c r="AB52" s="15"/>
      <c r="AC52" s="15">
        <v>1.0</v>
      </c>
      <c r="AD52" s="15"/>
      <c r="AE52" s="15"/>
      <c r="AF52" s="15"/>
      <c r="AG52" s="15"/>
      <c r="AH52" s="15"/>
      <c r="AI52" s="15"/>
      <c r="AJ52" s="15"/>
      <c r="AK52" s="11" t="s">
        <v>63</v>
      </c>
      <c r="AL52" s="17">
        <f t="shared" si="2"/>
        <v>435.4676667</v>
      </c>
      <c r="AM52" s="17">
        <f t="shared" si="3"/>
        <v>808.7256667</v>
      </c>
      <c r="AN52" s="11" t="s">
        <v>55</v>
      </c>
      <c r="AO52" s="11" t="s">
        <v>1</v>
      </c>
      <c r="AP52" s="11" t="s">
        <v>56</v>
      </c>
      <c r="AQ52" s="18">
        <v>595.62</v>
      </c>
      <c r="AR52" s="19" t="s">
        <v>280</v>
      </c>
      <c r="AS52" s="20">
        <v>44607.0</v>
      </c>
      <c r="AT52" s="18">
        <v>750.0</v>
      </c>
      <c r="AU52" s="19" t="s">
        <v>281</v>
      </c>
      <c r="AV52" s="20">
        <v>44607.0</v>
      </c>
      <c r="AW52" s="18">
        <v>520.67</v>
      </c>
      <c r="AX52" s="22" t="s">
        <v>282</v>
      </c>
      <c r="AY52" s="20">
        <v>44607.0</v>
      </c>
      <c r="AZ52" s="17">
        <f t="shared" si="6"/>
        <v>622.0966667</v>
      </c>
    </row>
    <row r="53">
      <c r="A53" s="10">
        <v>52.0</v>
      </c>
      <c r="B53" s="11">
        <v>2.1000000478E10</v>
      </c>
      <c r="C53" s="12" t="s">
        <v>283</v>
      </c>
      <c r="D53" s="13" t="s">
        <v>284</v>
      </c>
      <c r="E53" s="11" t="s">
        <v>140</v>
      </c>
      <c r="F53" s="14">
        <v>137090.0</v>
      </c>
      <c r="G53" s="15">
        <f t="shared" si="1"/>
        <v>2</v>
      </c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21">
        <v>2.0</v>
      </c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1" t="s">
        <v>63</v>
      </c>
      <c r="AL53" s="17">
        <f t="shared" si="2"/>
        <v>27.825</v>
      </c>
      <c r="AM53" s="17">
        <f t="shared" si="3"/>
        <v>51.675</v>
      </c>
      <c r="AN53" s="11" t="s">
        <v>55</v>
      </c>
      <c r="AO53" s="11" t="s">
        <v>1</v>
      </c>
      <c r="AP53" s="11" t="s">
        <v>56</v>
      </c>
      <c r="AQ53" s="18">
        <v>39.75</v>
      </c>
      <c r="AR53" s="19" t="s">
        <v>285</v>
      </c>
      <c r="AS53" s="20">
        <v>44608.0</v>
      </c>
      <c r="AT53" s="23"/>
      <c r="AU53" s="24"/>
      <c r="AV53" s="15"/>
      <c r="AW53" s="23"/>
      <c r="AX53" s="24"/>
      <c r="AY53" s="15"/>
      <c r="AZ53" s="17">
        <f t="shared" si="6"/>
        <v>39.75</v>
      </c>
    </row>
    <row r="54">
      <c r="A54" s="10">
        <v>53.0</v>
      </c>
      <c r="B54" s="11">
        <v>2.1000000102E10</v>
      </c>
      <c r="C54" s="12" t="s">
        <v>286</v>
      </c>
      <c r="D54" s="13" t="s">
        <v>287</v>
      </c>
      <c r="E54" s="11" t="s">
        <v>97</v>
      </c>
      <c r="F54" s="27">
        <v>327396.0</v>
      </c>
      <c r="G54" s="15">
        <f t="shared" si="1"/>
        <v>50</v>
      </c>
      <c r="H54" s="15"/>
      <c r="I54" s="21"/>
      <c r="J54" s="21">
        <v>25.0</v>
      </c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1">
        <v>25.0</v>
      </c>
      <c r="AI54" s="15"/>
      <c r="AJ54" s="15"/>
      <c r="AK54" s="11" t="s">
        <v>63</v>
      </c>
      <c r="AL54" s="17">
        <f t="shared" si="2"/>
        <v>3.252666667</v>
      </c>
      <c r="AM54" s="17">
        <f t="shared" si="3"/>
        <v>6.040666667</v>
      </c>
      <c r="AN54" s="11" t="s">
        <v>55</v>
      </c>
      <c r="AO54" s="11" t="s">
        <v>1</v>
      </c>
      <c r="AP54" s="11" t="s">
        <v>56</v>
      </c>
      <c r="AQ54" s="18">
        <v>2.76</v>
      </c>
      <c r="AR54" s="19" t="s">
        <v>288</v>
      </c>
      <c r="AS54" s="20">
        <v>44242.0</v>
      </c>
      <c r="AT54" s="18">
        <v>6.05</v>
      </c>
      <c r="AU54" s="19" t="s">
        <v>289</v>
      </c>
      <c r="AV54" s="20">
        <v>44607.0</v>
      </c>
      <c r="AW54" s="18">
        <v>5.13</v>
      </c>
      <c r="AX54" s="19" t="s">
        <v>290</v>
      </c>
      <c r="AY54" s="20">
        <v>44607.0</v>
      </c>
      <c r="AZ54" s="17">
        <f t="shared" si="6"/>
        <v>4.646666667</v>
      </c>
    </row>
    <row r="55">
      <c r="A55" s="10">
        <v>54.0</v>
      </c>
      <c r="B55" s="11">
        <v>2.1000000269E10</v>
      </c>
      <c r="C55" s="12" t="s">
        <v>291</v>
      </c>
      <c r="D55" s="13" t="s">
        <v>292</v>
      </c>
      <c r="E55" s="11" t="s">
        <v>97</v>
      </c>
      <c r="F55" s="14">
        <v>327374.0</v>
      </c>
      <c r="G55" s="15">
        <f t="shared" si="1"/>
        <v>50</v>
      </c>
      <c r="H55" s="15"/>
      <c r="I55" s="21"/>
      <c r="J55" s="16">
        <v>50.0</v>
      </c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1" t="s">
        <v>63</v>
      </c>
      <c r="AL55" s="17">
        <f t="shared" si="2"/>
        <v>86.163</v>
      </c>
      <c r="AM55" s="17">
        <f t="shared" si="3"/>
        <v>160.017</v>
      </c>
      <c r="AN55" s="11" t="s">
        <v>55</v>
      </c>
      <c r="AO55" s="11" t="s">
        <v>1</v>
      </c>
      <c r="AP55" s="11" t="s">
        <v>56</v>
      </c>
      <c r="AQ55" s="18">
        <v>137.81</v>
      </c>
      <c r="AR55" s="22" t="s">
        <v>293</v>
      </c>
      <c r="AS55" s="20">
        <v>44242.0</v>
      </c>
      <c r="AT55" s="18">
        <v>75.0</v>
      </c>
      <c r="AU55" s="19" t="s">
        <v>294</v>
      </c>
      <c r="AV55" s="20">
        <v>44607.0</v>
      </c>
      <c r="AW55" s="18">
        <v>156.46</v>
      </c>
      <c r="AX55" s="19" t="s">
        <v>295</v>
      </c>
      <c r="AY55" s="20">
        <v>44607.0</v>
      </c>
      <c r="AZ55" s="17">
        <f t="shared" si="6"/>
        <v>123.09</v>
      </c>
    </row>
    <row r="56">
      <c r="A56" s="10">
        <v>55.0</v>
      </c>
      <c r="B56" s="11">
        <v>2.1000000104E10</v>
      </c>
      <c r="C56" s="12" t="s">
        <v>296</v>
      </c>
      <c r="D56" s="13" t="s">
        <v>297</v>
      </c>
      <c r="E56" s="11" t="s">
        <v>140</v>
      </c>
      <c r="F56" s="27">
        <v>331361.0</v>
      </c>
      <c r="G56" s="15">
        <f t="shared" si="1"/>
        <v>1</v>
      </c>
      <c r="H56" s="15"/>
      <c r="I56" s="15"/>
      <c r="J56" s="15"/>
      <c r="K56" s="15"/>
      <c r="L56" s="15"/>
      <c r="M56" s="15"/>
      <c r="N56" s="15"/>
      <c r="O56" s="15"/>
      <c r="P56" s="21">
        <v>1.0</v>
      </c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1" t="s">
        <v>63</v>
      </c>
      <c r="AL56" s="17">
        <f t="shared" si="2"/>
        <v>20.87633333</v>
      </c>
      <c r="AM56" s="17">
        <f t="shared" si="3"/>
        <v>38.77033333</v>
      </c>
      <c r="AN56" s="11" t="s">
        <v>55</v>
      </c>
      <c r="AO56" s="11" t="s">
        <v>1</v>
      </c>
      <c r="AP56" s="11" t="s">
        <v>56</v>
      </c>
      <c r="AQ56" s="18">
        <v>29.29</v>
      </c>
      <c r="AR56" s="22" t="s">
        <v>298</v>
      </c>
      <c r="AS56" s="34">
        <v>44607.0</v>
      </c>
      <c r="AT56" s="18">
        <v>31.18</v>
      </c>
      <c r="AU56" s="22" t="s">
        <v>299</v>
      </c>
      <c r="AV56" s="34">
        <v>44607.0</v>
      </c>
      <c r="AW56" s="18">
        <v>29.0</v>
      </c>
      <c r="AX56" s="22" t="s">
        <v>300</v>
      </c>
      <c r="AY56" s="34">
        <v>44607.0</v>
      </c>
      <c r="AZ56" s="17">
        <f t="shared" si="6"/>
        <v>29.82333333</v>
      </c>
    </row>
    <row r="57">
      <c r="A57" s="10">
        <v>56.0</v>
      </c>
      <c r="B57" s="11">
        <v>2.1000000123E10</v>
      </c>
      <c r="C57" s="12" t="s">
        <v>301</v>
      </c>
      <c r="D57" s="13" t="s">
        <v>302</v>
      </c>
      <c r="E57" s="11" t="s">
        <v>97</v>
      </c>
      <c r="F57" s="14">
        <v>401189.0</v>
      </c>
      <c r="G57" s="15">
        <f t="shared" si="1"/>
        <v>500</v>
      </c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21">
        <v>500.0</v>
      </c>
      <c r="AI57" s="15"/>
      <c r="AJ57" s="15"/>
      <c r="AK57" s="11" t="s">
        <v>63</v>
      </c>
      <c r="AL57" s="17">
        <f t="shared" si="2"/>
        <v>0.01936666667</v>
      </c>
      <c r="AM57" s="17">
        <f t="shared" si="3"/>
        <v>0.03596666667</v>
      </c>
      <c r="AN57" s="11" t="s">
        <v>55</v>
      </c>
      <c r="AO57" s="11" t="s">
        <v>1</v>
      </c>
      <c r="AP57" s="11" t="s">
        <v>56</v>
      </c>
      <c r="AQ57" s="18">
        <v>0.026</v>
      </c>
      <c r="AR57" s="19" t="s">
        <v>303</v>
      </c>
      <c r="AS57" s="20">
        <v>44607.0</v>
      </c>
      <c r="AT57" s="18">
        <v>0.028</v>
      </c>
      <c r="AU57" s="19" t="s">
        <v>304</v>
      </c>
      <c r="AV57" s="20">
        <v>44607.0</v>
      </c>
      <c r="AW57" s="18">
        <v>0.029</v>
      </c>
      <c r="AX57" s="19" t="s">
        <v>305</v>
      </c>
      <c r="AY57" s="20">
        <v>44607.0</v>
      </c>
      <c r="AZ57" s="17">
        <f t="shared" si="6"/>
        <v>0.02766666667</v>
      </c>
    </row>
    <row r="58">
      <c r="A58" s="35">
        <v>57.0</v>
      </c>
      <c r="B58" s="36"/>
      <c r="C58" s="37" t="s">
        <v>306</v>
      </c>
      <c r="D58" s="38" t="s">
        <v>307</v>
      </c>
      <c r="E58" s="39" t="s">
        <v>140</v>
      </c>
      <c r="F58" s="40">
        <v>355032.0</v>
      </c>
      <c r="G58" s="36">
        <f t="shared" si="1"/>
        <v>1</v>
      </c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41">
        <v>1.0</v>
      </c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42" t="str">
        <f t="shared" si="2"/>
        <v>#DIV/0!</v>
      </c>
      <c r="AM58" s="42" t="str">
        <f t="shared" si="3"/>
        <v>#DIV/0!</v>
      </c>
      <c r="AN58" s="36"/>
      <c r="AO58" s="36"/>
      <c r="AP58" s="39" t="s">
        <v>56</v>
      </c>
      <c r="AQ58" s="43"/>
      <c r="AR58" s="44"/>
      <c r="AS58" s="36"/>
      <c r="AT58" s="43"/>
      <c r="AU58" s="44"/>
      <c r="AV58" s="36"/>
      <c r="AW58" s="43"/>
      <c r="AX58" s="44"/>
      <c r="AY58" s="36"/>
      <c r="AZ58" s="42" t="str">
        <f t="shared" si="6"/>
        <v>#DIV/0!</v>
      </c>
    </row>
    <row r="59">
      <c r="A59" s="10">
        <v>58.0</v>
      </c>
      <c r="B59" s="11">
        <v>2.1000000215E10</v>
      </c>
      <c r="C59" s="12" t="s">
        <v>308</v>
      </c>
      <c r="D59" s="13" t="s">
        <v>309</v>
      </c>
      <c r="E59" s="11" t="s">
        <v>97</v>
      </c>
      <c r="F59" s="14">
        <v>382202.0</v>
      </c>
      <c r="G59" s="15">
        <f t="shared" si="1"/>
        <v>4800</v>
      </c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1">
        <v>4000.0</v>
      </c>
      <c r="AJ59" s="16">
        <v>800.0</v>
      </c>
      <c r="AK59" s="11" t="s">
        <v>63</v>
      </c>
      <c r="AL59" s="17">
        <f t="shared" si="2"/>
        <v>0.4979053333</v>
      </c>
      <c r="AM59" s="17">
        <f t="shared" si="3"/>
        <v>0.9246813333</v>
      </c>
      <c r="AN59" s="11" t="s">
        <v>55</v>
      </c>
      <c r="AO59" s="11" t="s">
        <v>1</v>
      </c>
      <c r="AP59" s="11" t="s">
        <v>56</v>
      </c>
      <c r="AQ59" s="18">
        <v>0.57018</v>
      </c>
      <c r="AR59" s="19" t="s">
        <v>310</v>
      </c>
      <c r="AS59" s="20">
        <v>44608.0</v>
      </c>
      <c r="AT59" s="18">
        <v>0.7387</v>
      </c>
      <c r="AU59" s="19" t="s">
        <v>311</v>
      </c>
      <c r="AV59" s="20">
        <v>44608.0</v>
      </c>
      <c r="AW59" s="18">
        <v>0.825</v>
      </c>
      <c r="AX59" s="19" t="s">
        <v>312</v>
      </c>
      <c r="AY59" s="20">
        <v>44608.0</v>
      </c>
      <c r="AZ59" s="17">
        <f t="shared" si="6"/>
        <v>0.7112933333</v>
      </c>
    </row>
    <row r="60">
      <c r="A60" s="10">
        <v>59.0</v>
      </c>
      <c r="B60" s="11">
        <v>2.1000000214E10</v>
      </c>
      <c r="C60" s="12" t="s">
        <v>313</v>
      </c>
      <c r="D60" s="13" t="s">
        <v>314</v>
      </c>
      <c r="E60" s="11" t="s">
        <v>97</v>
      </c>
      <c r="F60" s="14">
        <v>347625.0</v>
      </c>
      <c r="G60" s="15">
        <f t="shared" si="1"/>
        <v>250</v>
      </c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6">
        <v>250.0</v>
      </c>
      <c r="AF60" s="15"/>
      <c r="AG60" s="15"/>
      <c r="AH60" s="15"/>
      <c r="AI60" s="15"/>
      <c r="AJ60" s="15"/>
      <c r="AK60" s="11" t="s">
        <v>63</v>
      </c>
      <c r="AL60" s="17">
        <f t="shared" si="2"/>
        <v>0.2090666667</v>
      </c>
      <c r="AM60" s="17">
        <f t="shared" si="3"/>
        <v>0.3882666667</v>
      </c>
      <c r="AN60" s="11" t="s">
        <v>55</v>
      </c>
      <c r="AO60" s="11" t="s">
        <v>1</v>
      </c>
      <c r="AP60" s="11" t="s">
        <v>56</v>
      </c>
      <c r="AQ60" s="18">
        <v>0.3</v>
      </c>
      <c r="AR60" s="19" t="s">
        <v>315</v>
      </c>
      <c r="AS60" s="20">
        <v>44607.0</v>
      </c>
      <c r="AT60" s="18">
        <v>0.356</v>
      </c>
      <c r="AU60" s="19" t="s">
        <v>316</v>
      </c>
      <c r="AV60" s="20">
        <v>44607.0</v>
      </c>
      <c r="AW60" s="18">
        <v>0.24</v>
      </c>
      <c r="AX60" s="19" t="s">
        <v>317</v>
      </c>
      <c r="AY60" s="20">
        <v>44607.0</v>
      </c>
      <c r="AZ60" s="17">
        <f t="shared" si="6"/>
        <v>0.2986666667</v>
      </c>
    </row>
    <row r="61">
      <c r="A61" s="10">
        <v>60.0</v>
      </c>
      <c r="B61" s="11">
        <v>2.1000000228E10</v>
      </c>
      <c r="C61" s="28" t="s">
        <v>318</v>
      </c>
      <c r="D61" s="13" t="s">
        <v>319</v>
      </c>
      <c r="E61" s="11" t="s">
        <v>85</v>
      </c>
      <c r="F61" s="14">
        <v>355882.0</v>
      </c>
      <c r="G61" s="15">
        <f t="shared" si="1"/>
        <v>2</v>
      </c>
      <c r="H61" s="15"/>
      <c r="I61" s="15"/>
      <c r="J61" s="15"/>
      <c r="K61" s="15"/>
      <c r="L61" s="15"/>
      <c r="M61" s="15"/>
      <c r="N61" s="15"/>
      <c r="O61" s="15"/>
      <c r="P61" s="15"/>
      <c r="Q61" s="21">
        <v>2.0</v>
      </c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1" t="s">
        <v>63</v>
      </c>
      <c r="AL61" s="17">
        <f t="shared" si="2"/>
        <v>121.464</v>
      </c>
      <c r="AM61" s="17">
        <f t="shared" si="3"/>
        <v>225.576</v>
      </c>
      <c r="AN61" s="11" t="s">
        <v>55</v>
      </c>
      <c r="AO61" s="11" t="s">
        <v>1</v>
      </c>
      <c r="AP61" s="11" t="s">
        <v>56</v>
      </c>
      <c r="AQ61" s="18">
        <v>194.04</v>
      </c>
      <c r="AR61" s="19" t="s">
        <v>320</v>
      </c>
      <c r="AS61" s="20">
        <v>44608.0</v>
      </c>
      <c r="AT61" s="18">
        <v>168.75</v>
      </c>
      <c r="AU61" s="19" t="s">
        <v>321</v>
      </c>
      <c r="AV61" s="20">
        <v>44608.0</v>
      </c>
      <c r="AW61" s="18">
        <v>157.77</v>
      </c>
      <c r="AX61" s="19" t="s">
        <v>322</v>
      </c>
      <c r="AY61" s="20">
        <v>44608.0</v>
      </c>
      <c r="AZ61" s="17">
        <f t="shared" si="6"/>
        <v>173.52</v>
      </c>
    </row>
    <row r="62">
      <c r="A62" s="10">
        <v>61.0</v>
      </c>
      <c r="B62" s="11">
        <v>2.1000000059E10</v>
      </c>
      <c r="C62" s="12" t="s">
        <v>323</v>
      </c>
      <c r="D62" s="13" t="s">
        <v>324</v>
      </c>
      <c r="E62" s="11" t="s">
        <v>140</v>
      </c>
      <c r="F62" s="14">
        <v>326281.0</v>
      </c>
      <c r="G62" s="15">
        <f t="shared" si="1"/>
        <v>2</v>
      </c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21">
        <v>1.0</v>
      </c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1">
        <v>1.0</v>
      </c>
      <c r="AH62" s="15"/>
      <c r="AI62" s="15"/>
      <c r="AJ62" s="15"/>
      <c r="AK62" s="11" t="s">
        <v>63</v>
      </c>
      <c r="AL62" s="17">
        <f t="shared" si="2"/>
        <v>313.1193333</v>
      </c>
      <c r="AM62" s="17">
        <f t="shared" si="3"/>
        <v>581.5073333</v>
      </c>
      <c r="AN62" s="11" t="s">
        <v>55</v>
      </c>
      <c r="AO62" s="11" t="s">
        <v>1</v>
      </c>
      <c r="AP62" s="11" t="s">
        <v>56</v>
      </c>
      <c r="AQ62" s="18">
        <v>547.6</v>
      </c>
      <c r="AR62" s="19" t="s">
        <v>325</v>
      </c>
      <c r="AS62" s="20">
        <v>44608.0</v>
      </c>
      <c r="AT62" s="18">
        <v>420.0</v>
      </c>
      <c r="AU62" s="19" t="s">
        <v>326</v>
      </c>
      <c r="AV62" s="20">
        <v>44608.0</v>
      </c>
      <c r="AW62" s="18">
        <v>374.34</v>
      </c>
      <c r="AX62" s="19" t="s">
        <v>327</v>
      </c>
      <c r="AY62" s="20">
        <v>44608.0</v>
      </c>
      <c r="AZ62" s="17">
        <f t="shared" si="6"/>
        <v>447.3133333</v>
      </c>
    </row>
    <row r="63">
      <c r="A63" s="10">
        <v>62.0</v>
      </c>
      <c r="B63" s="11">
        <v>2.1000000479E10</v>
      </c>
      <c r="C63" s="12" t="s">
        <v>328</v>
      </c>
      <c r="D63" s="13" t="s">
        <v>329</v>
      </c>
      <c r="E63" s="11" t="s">
        <v>140</v>
      </c>
      <c r="F63" s="14">
        <v>415707.0</v>
      </c>
      <c r="G63" s="15">
        <f t="shared" si="1"/>
        <v>1</v>
      </c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21"/>
      <c r="AG63" s="21">
        <v>1.0</v>
      </c>
      <c r="AH63" s="15"/>
      <c r="AI63" s="15"/>
      <c r="AJ63" s="15"/>
      <c r="AK63" s="11" t="s">
        <v>63</v>
      </c>
      <c r="AL63" s="17">
        <f t="shared" si="2"/>
        <v>418.7446667</v>
      </c>
      <c r="AM63" s="17">
        <f t="shared" si="3"/>
        <v>777.6686667</v>
      </c>
      <c r="AN63" s="11" t="s">
        <v>55</v>
      </c>
      <c r="AO63" s="11" t="s">
        <v>1</v>
      </c>
      <c r="AP63" s="11" t="s">
        <v>56</v>
      </c>
      <c r="AQ63" s="18">
        <v>706.89</v>
      </c>
      <c r="AR63" s="19" t="s">
        <v>330</v>
      </c>
      <c r="AS63" s="20">
        <v>44608.0</v>
      </c>
      <c r="AT63" s="18">
        <v>646.53</v>
      </c>
      <c r="AU63" s="19" t="s">
        <v>331</v>
      </c>
      <c r="AV63" s="20">
        <v>44608.0</v>
      </c>
      <c r="AW63" s="18">
        <v>441.2</v>
      </c>
      <c r="AX63" s="19" t="s">
        <v>332</v>
      </c>
      <c r="AY63" s="20">
        <v>44608.0</v>
      </c>
      <c r="AZ63" s="17">
        <f t="shared" si="6"/>
        <v>598.2066667</v>
      </c>
    </row>
    <row r="64">
      <c r="A64" s="10">
        <v>63.0</v>
      </c>
      <c r="B64" s="11">
        <v>2.100000048E10</v>
      </c>
      <c r="C64" s="12" t="s">
        <v>333</v>
      </c>
      <c r="D64" s="13" t="s">
        <v>334</v>
      </c>
      <c r="E64" s="11" t="s">
        <v>140</v>
      </c>
      <c r="F64" s="14">
        <v>326310.0</v>
      </c>
      <c r="G64" s="15">
        <f t="shared" si="1"/>
        <v>1</v>
      </c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21"/>
      <c r="AG64" s="21">
        <v>1.0</v>
      </c>
      <c r="AH64" s="15"/>
      <c r="AI64" s="15"/>
      <c r="AJ64" s="15"/>
      <c r="AK64" s="11" t="s">
        <v>63</v>
      </c>
      <c r="AL64" s="17">
        <f t="shared" si="2"/>
        <v>309.771</v>
      </c>
      <c r="AM64" s="17">
        <f t="shared" si="3"/>
        <v>575.289</v>
      </c>
      <c r="AN64" s="11" t="s">
        <v>55</v>
      </c>
      <c r="AO64" s="11" t="s">
        <v>1</v>
      </c>
      <c r="AP64" s="11" t="s">
        <v>56</v>
      </c>
      <c r="AQ64" s="18">
        <v>398.6</v>
      </c>
      <c r="AR64" s="19" t="s">
        <v>335</v>
      </c>
      <c r="AS64" s="20">
        <v>44608.0</v>
      </c>
      <c r="AT64" s="18">
        <v>300.36</v>
      </c>
      <c r="AU64" s="19" t="s">
        <v>336</v>
      </c>
      <c r="AV64" s="20">
        <v>44608.0</v>
      </c>
      <c r="AW64" s="18">
        <v>628.63</v>
      </c>
      <c r="AX64" s="19" t="s">
        <v>337</v>
      </c>
      <c r="AY64" s="20">
        <v>44608.0</v>
      </c>
      <c r="AZ64" s="17">
        <f t="shared" si="6"/>
        <v>442.53</v>
      </c>
    </row>
    <row r="65">
      <c r="A65" s="10">
        <v>64.0</v>
      </c>
      <c r="B65" s="11">
        <v>2.1000000166E10</v>
      </c>
      <c r="C65" s="28" t="s">
        <v>338</v>
      </c>
      <c r="D65" s="13" t="s">
        <v>339</v>
      </c>
      <c r="E65" s="11" t="s">
        <v>97</v>
      </c>
      <c r="F65" s="14">
        <v>347958.0</v>
      </c>
      <c r="G65" s="15">
        <f t="shared" si="1"/>
        <v>4000</v>
      </c>
      <c r="H65" s="15"/>
      <c r="I65" s="15"/>
      <c r="J65" s="15"/>
      <c r="K65" s="15"/>
      <c r="L65" s="15"/>
      <c r="M65" s="15"/>
      <c r="N65" s="15"/>
      <c r="O65" s="15"/>
      <c r="P65" s="15"/>
      <c r="Q65" s="16">
        <v>1000.0</v>
      </c>
      <c r="R65" s="11">
        <v>1000.0</v>
      </c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1">
        <v>2000.0</v>
      </c>
      <c r="AJ65" s="15"/>
      <c r="AK65" s="15"/>
      <c r="AL65" s="17" t="str">
        <f t="shared" si="2"/>
        <v>#DIV/0!</v>
      </c>
      <c r="AM65" s="17" t="str">
        <f t="shared" si="3"/>
        <v>#DIV/0!</v>
      </c>
      <c r="AN65" s="11" t="s">
        <v>55</v>
      </c>
      <c r="AO65" s="11" t="s">
        <v>1</v>
      </c>
      <c r="AP65" s="11" t="s">
        <v>56</v>
      </c>
      <c r="AQ65" s="23"/>
      <c r="AR65" s="24"/>
      <c r="AS65" s="15"/>
      <c r="AT65" s="23"/>
      <c r="AU65" s="24"/>
      <c r="AV65" s="15"/>
      <c r="AW65" s="23"/>
      <c r="AX65" s="24"/>
      <c r="AY65" s="15"/>
      <c r="AZ65" s="17" t="str">
        <f t="shared" si="6"/>
        <v>#DIV/0!</v>
      </c>
    </row>
    <row r="66">
      <c r="A66" s="10">
        <v>65.0</v>
      </c>
      <c r="B66" s="29">
        <v>2.1000000493E10</v>
      </c>
      <c r="C66" s="12" t="s">
        <v>338</v>
      </c>
      <c r="D66" s="13" t="s">
        <v>340</v>
      </c>
      <c r="E66" s="11" t="s">
        <v>97</v>
      </c>
      <c r="F66" s="27">
        <v>347959.0</v>
      </c>
      <c r="G66" s="15">
        <f t="shared" si="1"/>
        <v>11000</v>
      </c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6">
        <v>11000.0</v>
      </c>
      <c r="AK66" s="15"/>
      <c r="AL66" s="17">
        <f t="shared" si="2"/>
        <v>0.032802</v>
      </c>
      <c r="AM66" s="17">
        <f t="shared" si="3"/>
        <v>0.060918</v>
      </c>
      <c r="AN66" s="11" t="s">
        <v>55</v>
      </c>
      <c r="AO66" s="11" t="s">
        <v>1</v>
      </c>
      <c r="AP66" s="11" t="s">
        <v>56</v>
      </c>
      <c r="AQ66" s="23">
        <f>18.75/500</f>
        <v>0.0375</v>
      </c>
      <c r="AR66" s="22" t="s">
        <v>341</v>
      </c>
      <c r="AS66" s="20">
        <v>44607.0</v>
      </c>
      <c r="AT66" s="23">
        <f>31.66/500</f>
        <v>0.06332</v>
      </c>
      <c r="AU66" s="22" t="s">
        <v>342</v>
      </c>
      <c r="AV66" s="20">
        <v>44607.0</v>
      </c>
      <c r="AW66" s="23">
        <f>19.88 /500</f>
        <v>0.03976</v>
      </c>
      <c r="AX66" s="22" t="s">
        <v>343</v>
      </c>
      <c r="AY66" s="20">
        <v>44607.0</v>
      </c>
      <c r="AZ66" s="17">
        <f t="shared" si="6"/>
        <v>0.04686</v>
      </c>
    </row>
    <row r="67">
      <c r="A67" s="10">
        <v>66.0</v>
      </c>
      <c r="B67" s="11">
        <v>2.1000000157E10</v>
      </c>
      <c r="C67" s="28" t="s">
        <v>344</v>
      </c>
      <c r="D67" s="13" t="s">
        <v>345</v>
      </c>
      <c r="E67" s="11" t="s">
        <v>97</v>
      </c>
      <c r="F67" s="14">
        <v>348073.0</v>
      </c>
      <c r="G67" s="15">
        <f t="shared" si="1"/>
        <v>500</v>
      </c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21">
        <v>500.0</v>
      </c>
      <c r="AI67" s="15"/>
      <c r="AJ67" s="15"/>
      <c r="AK67" s="11" t="s">
        <v>63</v>
      </c>
      <c r="AL67" s="17">
        <f t="shared" si="2"/>
        <v>0.0392</v>
      </c>
      <c r="AM67" s="17">
        <f t="shared" si="3"/>
        <v>0.0728</v>
      </c>
      <c r="AN67" s="11" t="s">
        <v>55</v>
      </c>
      <c r="AO67" s="11" t="s">
        <v>1</v>
      </c>
      <c r="AP67" s="11" t="s">
        <v>56</v>
      </c>
      <c r="AQ67" s="23">
        <f>24.43/500</f>
        <v>0.04886</v>
      </c>
      <c r="AR67" s="19" t="s">
        <v>346</v>
      </c>
      <c r="AS67" s="20">
        <v>44607.0</v>
      </c>
      <c r="AT67" s="23">
        <f>15.72 /250</f>
        <v>0.06288</v>
      </c>
      <c r="AU67" s="22" t="s">
        <v>347</v>
      </c>
      <c r="AV67" s="20">
        <v>44607.0</v>
      </c>
      <c r="AW67" s="23">
        <f>28.13/500</f>
        <v>0.05626</v>
      </c>
      <c r="AX67" s="22" t="s">
        <v>348</v>
      </c>
      <c r="AY67" s="20">
        <v>44607.0</v>
      </c>
      <c r="AZ67" s="17">
        <f t="shared" si="6"/>
        <v>0.056</v>
      </c>
    </row>
    <row r="68">
      <c r="A68" s="10">
        <v>67.0</v>
      </c>
      <c r="B68" s="11">
        <v>2.1000000384E10</v>
      </c>
      <c r="C68" s="12" t="s">
        <v>349</v>
      </c>
      <c r="D68" s="13" t="s">
        <v>350</v>
      </c>
      <c r="E68" s="11" t="s">
        <v>97</v>
      </c>
      <c r="F68" s="14">
        <v>374776.0</v>
      </c>
      <c r="G68" s="15">
        <f t="shared" si="1"/>
        <v>1500</v>
      </c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6">
        <v>1500.0</v>
      </c>
      <c r="AK68" s="15"/>
      <c r="AL68" s="17">
        <f t="shared" si="2"/>
        <v>0.07871266667</v>
      </c>
      <c r="AM68" s="17">
        <f t="shared" si="3"/>
        <v>0.1461806667</v>
      </c>
      <c r="AN68" s="11" t="s">
        <v>55</v>
      </c>
      <c r="AO68" s="11" t="s">
        <v>1</v>
      </c>
      <c r="AP68" s="11" t="s">
        <v>56</v>
      </c>
      <c r="AQ68" s="23">
        <f>52/500</f>
        <v>0.104</v>
      </c>
      <c r="AR68" s="22" t="s">
        <v>351</v>
      </c>
      <c r="AS68" s="20">
        <v>44607.0</v>
      </c>
      <c r="AT68" s="23">
        <f>69.23 /500</f>
        <v>0.13846</v>
      </c>
      <c r="AU68" s="22" t="s">
        <v>352</v>
      </c>
      <c r="AV68" s="20">
        <v>44607.0</v>
      </c>
      <c r="AW68" s="23">
        <f>47.44/500</f>
        <v>0.09488</v>
      </c>
      <c r="AX68" s="22" t="s">
        <v>353</v>
      </c>
      <c r="AY68" s="20">
        <v>44607.0</v>
      </c>
      <c r="AZ68" s="17">
        <f t="shared" si="6"/>
        <v>0.1124466667</v>
      </c>
    </row>
    <row r="69">
      <c r="A69" s="10">
        <v>68.0</v>
      </c>
      <c r="B69" s="11">
        <v>2.1000000031E10</v>
      </c>
      <c r="C69" s="12" t="s">
        <v>354</v>
      </c>
      <c r="D69" s="13" t="s">
        <v>355</v>
      </c>
      <c r="E69" s="11" t="s">
        <v>97</v>
      </c>
      <c r="F69" s="14">
        <v>380439.0</v>
      </c>
      <c r="G69" s="15">
        <f t="shared" si="1"/>
        <v>1500</v>
      </c>
      <c r="H69" s="15"/>
      <c r="I69" s="15"/>
      <c r="J69" s="15"/>
      <c r="K69" s="15"/>
      <c r="L69" s="15"/>
      <c r="M69" s="15"/>
      <c r="N69" s="15"/>
      <c r="O69" s="15"/>
      <c r="P69" s="15"/>
      <c r="Q69" s="16">
        <v>1000.0</v>
      </c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1">
        <v>500.0</v>
      </c>
      <c r="AI69" s="15"/>
      <c r="AJ69" s="15"/>
      <c r="AK69" s="15"/>
      <c r="AL69" s="17">
        <f t="shared" si="2"/>
        <v>0.044121</v>
      </c>
      <c r="AM69" s="17">
        <f t="shared" si="3"/>
        <v>0.081939</v>
      </c>
      <c r="AN69" s="11" t="s">
        <v>55</v>
      </c>
      <c r="AO69" s="11" t="s">
        <v>1</v>
      </c>
      <c r="AP69" s="11" t="s">
        <v>56</v>
      </c>
      <c r="AQ69" s="18">
        <f>66.96/1000</f>
        <v>0.06696</v>
      </c>
      <c r="AR69" s="22" t="s">
        <v>356</v>
      </c>
      <c r="AS69" s="20">
        <v>44607.0</v>
      </c>
      <c r="AT69" s="23">
        <f>76.59/1000</f>
        <v>0.07659</v>
      </c>
      <c r="AU69" s="19" t="s">
        <v>357</v>
      </c>
      <c r="AV69" s="20">
        <v>44607.0</v>
      </c>
      <c r="AW69" s="23">
        <f>45.54/1000</f>
        <v>0.04554</v>
      </c>
      <c r="AX69" s="22" t="s">
        <v>358</v>
      </c>
      <c r="AY69" s="20">
        <v>44607.0</v>
      </c>
      <c r="AZ69" s="17">
        <f t="shared" si="6"/>
        <v>0.06303</v>
      </c>
    </row>
    <row r="70">
      <c r="A70" s="10">
        <v>69.0</v>
      </c>
      <c r="B70" s="11">
        <v>2.1000000033E10</v>
      </c>
      <c r="C70" s="12" t="s">
        <v>359</v>
      </c>
      <c r="D70" s="13" t="s">
        <v>360</v>
      </c>
      <c r="E70" s="11" t="s">
        <v>85</v>
      </c>
      <c r="F70" s="14">
        <v>412633.0</v>
      </c>
      <c r="G70" s="15">
        <f t="shared" si="1"/>
        <v>4</v>
      </c>
      <c r="H70" s="15"/>
      <c r="I70" s="15"/>
      <c r="J70" s="15"/>
      <c r="K70" s="15"/>
      <c r="L70" s="15"/>
      <c r="M70" s="15"/>
      <c r="N70" s="15"/>
      <c r="O70" s="15"/>
      <c r="P70" s="15"/>
      <c r="Q70" s="11">
        <v>2.0</v>
      </c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21">
        <v>2.0</v>
      </c>
      <c r="AJ70" s="15"/>
      <c r="AK70" s="11" t="s">
        <v>63</v>
      </c>
      <c r="AL70" s="17">
        <f t="shared" si="2"/>
        <v>31.57233333</v>
      </c>
      <c r="AM70" s="17">
        <f t="shared" si="3"/>
        <v>58.63433333</v>
      </c>
      <c r="AN70" s="11" t="s">
        <v>55</v>
      </c>
      <c r="AO70" s="11" t="s">
        <v>1</v>
      </c>
      <c r="AP70" s="11" t="s">
        <v>56</v>
      </c>
      <c r="AQ70" s="23">
        <f>18.94*2</f>
        <v>37.88</v>
      </c>
      <c r="AR70" s="19" t="s">
        <v>361</v>
      </c>
      <c r="AS70" s="20">
        <v>44607.0</v>
      </c>
      <c r="AT70" s="23">
        <f>19.55*2</f>
        <v>39.1</v>
      </c>
      <c r="AU70" s="22" t="s">
        <v>362</v>
      </c>
      <c r="AV70" s="20">
        <v>44607.0</v>
      </c>
      <c r="AW70" s="18">
        <v>58.33</v>
      </c>
      <c r="AX70" s="19" t="s">
        <v>363</v>
      </c>
      <c r="AY70" s="20">
        <v>44607.0</v>
      </c>
      <c r="AZ70" s="17">
        <f t="shared" si="6"/>
        <v>45.10333333</v>
      </c>
    </row>
    <row r="71">
      <c r="A71" s="10">
        <v>70.0</v>
      </c>
      <c r="B71" s="11">
        <v>2.1000000038E10</v>
      </c>
      <c r="C71" s="12" t="s">
        <v>364</v>
      </c>
      <c r="D71" s="13" t="s">
        <v>365</v>
      </c>
      <c r="E71" s="11" t="s">
        <v>97</v>
      </c>
      <c r="F71" s="14">
        <v>356835.0</v>
      </c>
      <c r="G71" s="15">
        <f t="shared" si="1"/>
        <v>250</v>
      </c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21">
        <v>250.0</v>
      </c>
      <c r="AI71" s="15"/>
      <c r="AJ71" s="15"/>
      <c r="AK71" s="15"/>
      <c r="AL71" s="17">
        <f t="shared" si="2"/>
        <v>0.1096083333</v>
      </c>
      <c r="AM71" s="17">
        <f t="shared" si="3"/>
        <v>0.2035583333</v>
      </c>
      <c r="AN71" s="11" t="s">
        <v>55</v>
      </c>
      <c r="AO71" s="11" t="s">
        <v>1</v>
      </c>
      <c r="AP71" s="11" t="s">
        <v>56</v>
      </c>
      <c r="AQ71" s="23">
        <f>114.16/1000</f>
        <v>0.11416</v>
      </c>
      <c r="AR71" s="19" t="s">
        <v>366</v>
      </c>
      <c r="AS71" s="20">
        <v>44607.0</v>
      </c>
      <c r="AT71" s="23">
        <f>112.5/500</f>
        <v>0.225</v>
      </c>
      <c r="AU71" s="19" t="s">
        <v>367</v>
      </c>
      <c r="AV71" s="20">
        <v>44607.0</v>
      </c>
      <c r="AW71" s="23">
        <f>130.59/1000</f>
        <v>0.13059</v>
      </c>
      <c r="AX71" s="22" t="s">
        <v>368</v>
      </c>
      <c r="AY71" s="20">
        <v>44607.0</v>
      </c>
      <c r="AZ71" s="17">
        <f t="shared" si="6"/>
        <v>0.1565833333</v>
      </c>
    </row>
    <row r="72">
      <c r="A72" s="10">
        <v>71.0</v>
      </c>
      <c r="B72" s="11">
        <v>2.1000000039E10</v>
      </c>
      <c r="C72" s="12" t="s">
        <v>369</v>
      </c>
      <c r="D72" s="13" t="s">
        <v>370</v>
      </c>
      <c r="E72" s="11" t="s">
        <v>97</v>
      </c>
      <c r="F72" s="14">
        <v>360537.0</v>
      </c>
      <c r="G72" s="15">
        <f t="shared" si="1"/>
        <v>250</v>
      </c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21">
        <v>250.0</v>
      </c>
      <c r="AI72" s="15"/>
      <c r="AJ72" s="15"/>
      <c r="AK72" s="15"/>
      <c r="AL72" s="17">
        <f t="shared" si="2"/>
        <v>0.02384666667</v>
      </c>
      <c r="AM72" s="17">
        <f t="shared" si="3"/>
        <v>0.04428666667</v>
      </c>
      <c r="AN72" s="11" t="s">
        <v>55</v>
      </c>
      <c r="AO72" s="11" t="s">
        <v>1</v>
      </c>
      <c r="AP72" s="11" t="s">
        <v>56</v>
      </c>
      <c r="AQ72" s="18">
        <f>22.4/500</f>
        <v>0.0448</v>
      </c>
      <c r="AR72" s="22" t="s">
        <v>371</v>
      </c>
      <c r="AS72" s="20">
        <v>44607.0</v>
      </c>
      <c r="AT72" s="23">
        <f>38.2/1000</f>
        <v>0.0382</v>
      </c>
      <c r="AU72" s="22" t="s">
        <v>372</v>
      </c>
      <c r="AV72" s="20">
        <v>44607.0</v>
      </c>
      <c r="AW72" s="18">
        <f>19.2/1000</f>
        <v>0.0192</v>
      </c>
      <c r="AX72" s="19" t="s">
        <v>373</v>
      </c>
      <c r="AY72" s="20">
        <v>44607.0</v>
      </c>
      <c r="AZ72" s="17">
        <f t="shared" si="6"/>
        <v>0.03406666667</v>
      </c>
    </row>
    <row r="73">
      <c r="A73" s="10">
        <v>72.0</v>
      </c>
      <c r="B73" s="11">
        <v>2.100000004E10</v>
      </c>
      <c r="C73" s="12" t="s">
        <v>374</v>
      </c>
      <c r="D73" s="45" t="s">
        <v>375</v>
      </c>
      <c r="E73" s="11" t="s">
        <v>97</v>
      </c>
      <c r="F73" s="27">
        <v>352777.0</v>
      </c>
      <c r="G73" s="15">
        <f t="shared" si="1"/>
        <v>5000</v>
      </c>
      <c r="H73" s="11">
        <v>4000.0</v>
      </c>
      <c r="I73" s="21"/>
      <c r="J73" s="21">
        <v>1000.0</v>
      </c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1" t="s">
        <v>63</v>
      </c>
      <c r="AL73" s="17">
        <f t="shared" si="2"/>
        <v>0.059878</v>
      </c>
      <c r="AM73" s="17">
        <f t="shared" si="3"/>
        <v>0.111202</v>
      </c>
      <c r="AN73" s="11" t="s">
        <v>55</v>
      </c>
      <c r="AO73" s="11" t="s">
        <v>1</v>
      </c>
      <c r="AP73" s="11" t="s">
        <v>56</v>
      </c>
      <c r="AQ73" s="23">
        <f>51.21/500</f>
        <v>0.10242</v>
      </c>
      <c r="AR73" s="22" t="s">
        <v>376</v>
      </c>
      <c r="AS73" s="20">
        <v>44631.0</v>
      </c>
      <c r="AT73" s="23">
        <f>42.28/500 </f>
        <v>0.08456</v>
      </c>
      <c r="AU73" s="22" t="s">
        <v>377</v>
      </c>
      <c r="AV73" s="20">
        <v>44631.0</v>
      </c>
      <c r="AW73" s="23">
        <f>34.82/500</f>
        <v>0.06964</v>
      </c>
      <c r="AX73" s="22" t="s">
        <v>378</v>
      </c>
      <c r="AY73" s="20">
        <v>44631.0</v>
      </c>
      <c r="AZ73" s="17">
        <f t="shared" si="6"/>
        <v>0.08554</v>
      </c>
    </row>
    <row r="74">
      <c r="A74" s="10">
        <v>73.0</v>
      </c>
      <c r="B74" s="11">
        <v>2.1000000041E10</v>
      </c>
      <c r="C74" s="12" t="s">
        <v>379</v>
      </c>
      <c r="D74" s="13" t="s">
        <v>380</v>
      </c>
      <c r="E74" s="11" t="s">
        <v>85</v>
      </c>
      <c r="F74" s="14">
        <v>366472.0</v>
      </c>
      <c r="G74" s="15">
        <f t="shared" si="1"/>
        <v>7</v>
      </c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21">
        <v>5.0</v>
      </c>
      <c r="AB74" s="15"/>
      <c r="AC74" s="15"/>
      <c r="AD74" s="15"/>
      <c r="AE74" s="15"/>
      <c r="AF74" s="15"/>
      <c r="AG74" s="15"/>
      <c r="AH74" s="15"/>
      <c r="AI74" s="11">
        <v>2.0</v>
      </c>
      <c r="AJ74" s="15"/>
      <c r="AK74" s="11" t="s">
        <v>63</v>
      </c>
      <c r="AL74" s="17">
        <f t="shared" si="2"/>
        <v>14.7</v>
      </c>
      <c r="AM74" s="17">
        <f t="shared" si="3"/>
        <v>27.3</v>
      </c>
      <c r="AN74" s="11" t="s">
        <v>55</v>
      </c>
      <c r="AO74" s="11" t="s">
        <v>1</v>
      </c>
      <c r="AP74" s="11" t="s">
        <v>56</v>
      </c>
      <c r="AQ74" s="18">
        <v>19.61</v>
      </c>
      <c r="AR74" s="32" t="s">
        <v>227</v>
      </c>
      <c r="AS74" s="20">
        <v>44607.0</v>
      </c>
      <c r="AT74" s="18">
        <v>19.81</v>
      </c>
      <c r="AU74" s="32" t="s">
        <v>381</v>
      </c>
      <c r="AV74" s="20">
        <v>44607.0</v>
      </c>
      <c r="AW74" s="18">
        <v>23.58</v>
      </c>
      <c r="AX74" s="32" t="s">
        <v>382</v>
      </c>
      <c r="AY74" s="20">
        <v>44607.0</v>
      </c>
      <c r="AZ74" s="17">
        <f t="shared" si="6"/>
        <v>21</v>
      </c>
    </row>
    <row r="75">
      <c r="A75" s="10">
        <v>74.0</v>
      </c>
      <c r="B75" s="11">
        <v>2.1000000043E10</v>
      </c>
      <c r="C75" s="12" t="s">
        <v>383</v>
      </c>
      <c r="D75" s="13" t="s">
        <v>384</v>
      </c>
      <c r="E75" s="11" t="s">
        <v>62</v>
      </c>
      <c r="F75" s="14">
        <v>380869.0</v>
      </c>
      <c r="G75" s="15">
        <f t="shared" si="1"/>
        <v>2</v>
      </c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21">
        <v>2.0</v>
      </c>
      <c r="AF75" s="15"/>
      <c r="AG75" s="15"/>
      <c r="AH75" s="15"/>
      <c r="AI75" s="15"/>
      <c r="AJ75" s="15"/>
      <c r="AK75" s="11" t="s">
        <v>63</v>
      </c>
      <c r="AL75" s="17">
        <f t="shared" si="2"/>
        <v>42.30566667</v>
      </c>
      <c r="AM75" s="17">
        <f t="shared" si="3"/>
        <v>78.56766667</v>
      </c>
      <c r="AN75" s="11" t="s">
        <v>55</v>
      </c>
      <c r="AO75" s="11" t="s">
        <v>1</v>
      </c>
      <c r="AP75" s="11" t="s">
        <v>56</v>
      </c>
      <c r="AQ75" s="18">
        <v>75.0</v>
      </c>
      <c r="AR75" s="32" t="s">
        <v>385</v>
      </c>
      <c r="AS75" s="20">
        <v>44607.0</v>
      </c>
      <c r="AT75" s="18">
        <v>59.37</v>
      </c>
      <c r="AU75" s="32" t="s">
        <v>227</v>
      </c>
      <c r="AV75" s="20">
        <v>44607.0</v>
      </c>
      <c r="AW75" s="18">
        <v>46.94</v>
      </c>
      <c r="AX75" s="32" t="s">
        <v>386</v>
      </c>
      <c r="AY75" s="20">
        <v>44607.0</v>
      </c>
      <c r="AZ75" s="17">
        <f t="shared" si="6"/>
        <v>60.43666667</v>
      </c>
    </row>
    <row r="76">
      <c r="A76" s="10">
        <v>75.0</v>
      </c>
      <c r="B76" s="11">
        <v>2.1000000045E10</v>
      </c>
      <c r="C76" s="12" t="s">
        <v>387</v>
      </c>
      <c r="D76" s="13" t="s">
        <v>388</v>
      </c>
      <c r="E76" s="11" t="s">
        <v>389</v>
      </c>
      <c r="F76" s="14">
        <v>327536.0</v>
      </c>
      <c r="G76" s="15">
        <f t="shared" si="1"/>
        <v>5</v>
      </c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21">
        <v>5.0</v>
      </c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1" t="s">
        <v>63</v>
      </c>
      <c r="AL76" s="17">
        <f t="shared" si="2"/>
        <v>41.755</v>
      </c>
      <c r="AM76" s="17">
        <f t="shared" si="3"/>
        <v>77.545</v>
      </c>
      <c r="AN76" s="11" t="s">
        <v>55</v>
      </c>
      <c r="AO76" s="11" t="s">
        <v>1</v>
      </c>
      <c r="AP76" s="11" t="s">
        <v>56</v>
      </c>
      <c r="AQ76" s="18">
        <v>67.1</v>
      </c>
      <c r="AR76" s="19" t="s">
        <v>390</v>
      </c>
      <c r="AS76" s="34">
        <v>44607.0</v>
      </c>
      <c r="AT76" s="18">
        <v>48.5</v>
      </c>
      <c r="AU76" s="22" t="s">
        <v>391</v>
      </c>
      <c r="AV76" s="34">
        <v>44607.0</v>
      </c>
      <c r="AW76" s="18">
        <v>63.35</v>
      </c>
      <c r="AX76" s="24"/>
      <c r="AY76" s="34">
        <v>44607.0</v>
      </c>
      <c r="AZ76" s="17">
        <f t="shared" si="6"/>
        <v>59.65</v>
      </c>
    </row>
    <row r="77">
      <c r="A77" s="10">
        <v>76.0</v>
      </c>
      <c r="B77" s="11">
        <v>2.1000000046E10</v>
      </c>
      <c r="C77" s="12" t="s">
        <v>392</v>
      </c>
      <c r="D77" s="13" t="s">
        <v>393</v>
      </c>
      <c r="E77" s="11" t="s">
        <v>394</v>
      </c>
      <c r="F77" s="14">
        <v>327534.0</v>
      </c>
      <c r="G77" s="15">
        <f t="shared" si="1"/>
        <v>6</v>
      </c>
      <c r="H77" s="15"/>
      <c r="I77" s="15"/>
      <c r="J77" s="15"/>
      <c r="K77" s="15"/>
      <c r="L77" s="11">
        <v>2.0</v>
      </c>
      <c r="M77" s="15"/>
      <c r="N77" s="15"/>
      <c r="O77" s="15"/>
      <c r="P77" s="15"/>
      <c r="Q77" s="15"/>
      <c r="R77" s="15"/>
      <c r="S77" s="21">
        <v>1.0</v>
      </c>
      <c r="T77" s="15"/>
      <c r="U77" s="15"/>
      <c r="V77" s="15"/>
      <c r="W77" s="11">
        <v>1.0</v>
      </c>
      <c r="X77" s="15"/>
      <c r="Y77" s="15"/>
      <c r="Z77" s="15"/>
      <c r="AA77" s="15"/>
      <c r="AB77" s="11">
        <v>1.0</v>
      </c>
      <c r="AC77" s="15"/>
      <c r="AD77" s="15"/>
      <c r="AE77" s="15"/>
      <c r="AF77" s="11"/>
      <c r="AG77" s="11">
        <v>1.0</v>
      </c>
      <c r="AH77" s="15"/>
      <c r="AI77" s="15"/>
      <c r="AJ77" s="15"/>
      <c r="AK77" s="11" t="s">
        <v>63</v>
      </c>
      <c r="AL77" s="17">
        <f t="shared" si="2"/>
        <v>58.41733333</v>
      </c>
      <c r="AM77" s="17">
        <f t="shared" si="3"/>
        <v>108.4893333</v>
      </c>
      <c r="AN77" s="11" t="s">
        <v>55</v>
      </c>
      <c r="AO77" s="11" t="s">
        <v>1</v>
      </c>
      <c r="AP77" s="11" t="s">
        <v>56</v>
      </c>
      <c r="AQ77" s="18">
        <v>99.12</v>
      </c>
      <c r="AR77" s="22" t="s">
        <v>395</v>
      </c>
      <c r="AS77" s="34">
        <v>44607.0</v>
      </c>
      <c r="AT77" s="18">
        <v>68.6</v>
      </c>
      <c r="AU77" s="22" t="s">
        <v>396</v>
      </c>
      <c r="AV77" s="34">
        <v>44607.0</v>
      </c>
      <c r="AW77" s="18">
        <v>82.64</v>
      </c>
      <c r="AX77" s="19" t="s">
        <v>397</v>
      </c>
      <c r="AY77" s="34">
        <v>44607.0</v>
      </c>
      <c r="AZ77" s="17">
        <f t="shared" si="6"/>
        <v>83.45333333</v>
      </c>
    </row>
    <row r="78">
      <c r="A78" s="10">
        <v>77.0</v>
      </c>
      <c r="B78" s="11">
        <v>2.1000000328E10</v>
      </c>
      <c r="C78" s="12" t="s">
        <v>398</v>
      </c>
      <c r="D78" s="13" t="s">
        <v>399</v>
      </c>
      <c r="E78" s="11" t="s">
        <v>140</v>
      </c>
      <c r="F78" s="14">
        <v>358554.0</v>
      </c>
      <c r="G78" s="15"/>
      <c r="H78" s="15"/>
      <c r="I78" s="21"/>
      <c r="J78" s="21">
        <v>1.0</v>
      </c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1" t="s">
        <v>63</v>
      </c>
      <c r="AL78" s="17">
        <f t="shared" si="2"/>
        <v>133.1796667</v>
      </c>
      <c r="AM78" s="17">
        <f t="shared" si="3"/>
        <v>247.3336667</v>
      </c>
      <c r="AN78" s="11" t="s">
        <v>55</v>
      </c>
      <c r="AO78" s="11" t="s">
        <v>1</v>
      </c>
      <c r="AP78" s="11" t="s">
        <v>56</v>
      </c>
      <c r="AQ78" s="18">
        <v>198.73</v>
      </c>
      <c r="AR78" s="22" t="s">
        <v>400</v>
      </c>
      <c r="AS78" s="34">
        <v>44607.0</v>
      </c>
      <c r="AT78" s="18">
        <v>205.38</v>
      </c>
      <c r="AU78" s="19" t="s">
        <v>401</v>
      </c>
      <c r="AV78" s="34">
        <v>44607.0</v>
      </c>
      <c r="AW78" s="18">
        <v>166.66</v>
      </c>
      <c r="AX78" s="22" t="s">
        <v>402</v>
      </c>
      <c r="AY78" s="34">
        <v>44607.0</v>
      </c>
      <c r="AZ78" s="17">
        <f t="shared" si="6"/>
        <v>190.2566667</v>
      </c>
    </row>
    <row r="79">
      <c r="A79" s="10">
        <v>78.0</v>
      </c>
      <c r="B79" s="11">
        <v>2.1000000137E10</v>
      </c>
      <c r="C79" s="28" t="s">
        <v>403</v>
      </c>
      <c r="D79" s="13" t="s">
        <v>404</v>
      </c>
      <c r="E79" s="11" t="s">
        <v>97</v>
      </c>
      <c r="F79" s="14">
        <v>359256.0</v>
      </c>
      <c r="G79" s="15">
        <f t="shared" ref="G79:G163" si="7">SUM(H79:AJ79)</f>
        <v>1000</v>
      </c>
      <c r="H79" s="15"/>
      <c r="I79" s="15"/>
      <c r="J79" s="15"/>
      <c r="K79" s="15"/>
      <c r="L79" s="15"/>
      <c r="M79" s="15"/>
      <c r="N79" s="15"/>
      <c r="O79" s="15"/>
      <c r="P79" s="15"/>
      <c r="Q79" s="16">
        <v>1000.0</v>
      </c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1" t="s">
        <v>63</v>
      </c>
      <c r="AL79" s="17">
        <f t="shared" si="2"/>
        <v>0.109907</v>
      </c>
      <c r="AM79" s="17">
        <f t="shared" si="3"/>
        <v>0.204113</v>
      </c>
      <c r="AN79" s="11" t="s">
        <v>55</v>
      </c>
      <c r="AO79" s="11" t="s">
        <v>1</v>
      </c>
      <c r="AP79" s="11" t="s">
        <v>56</v>
      </c>
      <c r="AQ79" s="23">
        <f>157.01/1000</f>
        <v>0.15701</v>
      </c>
      <c r="AR79" s="22" t="s">
        <v>405</v>
      </c>
      <c r="AS79" s="34">
        <v>44607.0</v>
      </c>
      <c r="AT79" s="23"/>
      <c r="AU79" s="24"/>
      <c r="AV79" s="15"/>
      <c r="AW79" s="23"/>
      <c r="AX79" s="24"/>
      <c r="AY79" s="15"/>
      <c r="AZ79" s="17">
        <f t="shared" si="6"/>
        <v>0.15701</v>
      </c>
    </row>
    <row r="80">
      <c r="A80" s="10">
        <v>79.0</v>
      </c>
      <c r="B80" s="11">
        <v>2.100000014E10</v>
      </c>
      <c r="C80" s="12" t="s">
        <v>406</v>
      </c>
      <c r="D80" s="13" t="s">
        <v>407</v>
      </c>
      <c r="E80" s="11" t="s">
        <v>62</v>
      </c>
      <c r="F80" s="14">
        <v>346522.0</v>
      </c>
      <c r="G80" s="15">
        <f t="shared" si="7"/>
        <v>2</v>
      </c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21">
        <v>2.0</v>
      </c>
      <c r="AF80" s="15"/>
      <c r="AG80" s="15"/>
      <c r="AH80" s="15"/>
      <c r="AI80" s="15"/>
      <c r="AJ80" s="15"/>
      <c r="AK80" s="11" t="s">
        <v>63</v>
      </c>
      <c r="AL80" s="17">
        <f t="shared" si="2"/>
        <v>188.489</v>
      </c>
      <c r="AM80" s="17">
        <f t="shared" si="3"/>
        <v>350.051</v>
      </c>
      <c r="AN80" s="11" t="s">
        <v>55</v>
      </c>
      <c r="AO80" s="11" t="s">
        <v>1</v>
      </c>
      <c r="AP80" s="11" t="s">
        <v>56</v>
      </c>
      <c r="AQ80" s="18">
        <v>415.0</v>
      </c>
      <c r="AR80" s="32" t="s">
        <v>408</v>
      </c>
      <c r="AS80" s="34">
        <v>44607.0</v>
      </c>
      <c r="AT80" s="18">
        <v>123.54</v>
      </c>
      <c r="AU80" s="22" t="s">
        <v>409</v>
      </c>
      <c r="AV80" s="34">
        <v>44607.0</v>
      </c>
      <c r="AW80" s="23"/>
      <c r="AX80" s="24"/>
      <c r="AY80" s="15"/>
      <c r="AZ80" s="17">
        <f t="shared" si="6"/>
        <v>269.27</v>
      </c>
    </row>
    <row r="81">
      <c r="A81" s="10">
        <v>80.0</v>
      </c>
      <c r="B81" s="11">
        <v>2.1000000139E10</v>
      </c>
      <c r="C81" s="12" t="s">
        <v>410</v>
      </c>
      <c r="D81" s="13" t="s">
        <v>411</v>
      </c>
      <c r="E81" s="11" t="s">
        <v>62</v>
      </c>
      <c r="F81" s="14">
        <v>346521.0</v>
      </c>
      <c r="G81" s="15">
        <f t="shared" si="7"/>
        <v>8</v>
      </c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21">
        <v>5.0</v>
      </c>
      <c r="AB81" s="15"/>
      <c r="AC81" s="15"/>
      <c r="AD81" s="15"/>
      <c r="AE81" s="11">
        <v>3.0</v>
      </c>
      <c r="AF81" s="15"/>
      <c r="AG81" s="15"/>
      <c r="AH81" s="15"/>
      <c r="AI81" s="15"/>
      <c r="AJ81" s="15"/>
      <c r="AK81" s="11"/>
      <c r="AL81" s="17">
        <f t="shared" si="2"/>
        <v>42.37333333</v>
      </c>
      <c r="AM81" s="17">
        <f t="shared" si="3"/>
        <v>78.69333333</v>
      </c>
      <c r="AN81" s="11" t="s">
        <v>55</v>
      </c>
      <c r="AO81" s="11" t="s">
        <v>1</v>
      </c>
      <c r="AP81" s="11" t="s">
        <v>56</v>
      </c>
      <c r="AQ81" s="18">
        <v>42.64</v>
      </c>
      <c r="AR81" s="22" t="s">
        <v>412</v>
      </c>
      <c r="AS81" s="34">
        <v>44607.0</v>
      </c>
      <c r="AT81" s="18">
        <v>66.66</v>
      </c>
      <c r="AU81" s="32" t="s">
        <v>413</v>
      </c>
      <c r="AV81" s="20">
        <v>44607.0</v>
      </c>
      <c r="AW81" s="18">
        <v>72.3</v>
      </c>
      <c r="AX81" s="32" t="s">
        <v>227</v>
      </c>
      <c r="AY81" s="20">
        <v>44607.0</v>
      </c>
      <c r="AZ81" s="17">
        <f t="shared" si="6"/>
        <v>60.53333333</v>
      </c>
    </row>
    <row r="82">
      <c r="A82" s="10">
        <v>81.0</v>
      </c>
      <c r="B82" s="11">
        <v>2.1000000142E10</v>
      </c>
      <c r="C82" s="12" t="s">
        <v>414</v>
      </c>
      <c r="D82" s="13" t="s">
        <v>415</v>
      </c>
      <c r="E82" s="11" t="s">
        <v>97</v>
      </c>
      <c r="F82" s="14">
        <v>412588.0</v>
      </c>
      <c r="G82" s="15">
        <f t="shared" si="7"/>
        <v>500</v>
      </c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1">
        <v>250.0</v>
      </c>
      <c r="AI82" s="16">
        <v>250.0</v>
      </c>
      <c r="AJ82" s="15"/>
      <c r="AK82" s="11" t="s">
        <v>63</v>
      </c>
      <c r="AL82" s="17">
        <f t="shared" si="2"/>
        <v>0.098483</v>
      </c>
      <c r="AM82" s="17">
        <f t="shared" si="3"/>
        <v>0.182897</v>
      </c>
      <c r="AN82" s="11" t="s">
        <v>55</v>
      </c>
      <c r="AO82" s="11" t="s">
        <v>1</v>
      </c>
      <c r="AP82" s="11" t="s">
        <v>56</v>
      </c>
      <c r="AQ82" s="23">
        <f>140.69/1000</f>
        <v>0.14069</v>
      </c>
      <c r="AR82" s="22" t="s">
        <v>416</v>
      </c>
      <c r="AS82" s="34">
        <v>44607.0</v>
      </c>
      <c r="AT82" s="23"/>
      <c r="AU82" s="24"/>
      <c r="AV82" s="15"/>
      <c r="AW82" s="23"/>
      <c r="AX82" s="24"/>
      <c r="AY82" s="15"/>
      <c r="AZ82" s="17">
        <f t="shared" si="6"/>
        <v>0.14069</v>
      </c>
    </row>
    <row r="83">
      <c r="A83" s="10">
        <v>82.0</v>
      </c>
      <c r="B83" s="11">
        <v>2.10000005E10</v>
      </c>
      <c r="C83" s="12" t="s">
        <v>417</v>
      </c>
      <c r="D83" s="13" t="s">
        <v>418</v>
      </c>
      <c r="E83" s="11" t="s">
        <v>62</v>
      </c>
      <c r="F83" s="14">
        <v>380933.0</v>
      </c>
      <c r="G83" s="15">
        <f t="shared" si="7"/>
        <v>2</v>
      </c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21">
        <v>2.0</v>
      </c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7">
        <f t="shared" si="2"/>
        <v>29.8634</v>
      </c>
      <c r="AM83" s="17">
        <f t="shared" si="3"/>
        <v>55.4606</v>
      </c>
      <c r="AN83" s="11" t="s">
        <v>55</v>
      </c>
      <c r="AO83" s="11" t="s">
        <v>1</v>
      </c>
      <c r="AP83" s="11" t="s">
        <v>56</v>
      </c>
      <c r="AQ83" s="18">
        <v>47.44</v>
      </c>
      <c r="AR83" s="22" t="s">
        <v>419</v>
      </c>
      <c r="AS83" s="34">
        <v>44607.0</v>
      </c>
      <c r="AT83" s="23">
        <f>189.42/5</f>
        <v>37.884</v>
      </c>
      <c r="AU83" s="22" t="s">
        <v>420</v>
      </c>
      <c r="AV83" s="34">
        <v>44607.0</v>
      </c>
      <c r="AW83" s="23"/>
      <c r="AX83" s="24"/>
      <c r="AY83" s="15"/>
      <c r="AZ83" s="17">
        <f t="shared" si="6"/>
        <v>42.662</v>
      </c>
    </row>
    <row r="84">
      <c r="A84" s="10">
        <v>83.0</v>
      </c>
      <c r="B84" s="15"/>
      <c r="C84" s="12" t="s">
        <v>421</v>
      </c>
      <c r="D84" s="46" t="s">
        <v>422</v>
      </c>
      <c r="E84" s="11" t="s">
        <v>97</v>
      </c>
      <c r="F84" s="27">
        <v>419288.0</v>
      </c>
      <c r="G84" s="15">
        <f t="shared" si="7"/>
        <v>20</v>
      </c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21"/>
      <c r="Z84" s="16">
        <v>20.0</v>
      </c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7">
        <f t="shared" si="2"/>
        <v>356.3</v>
      </c>
      <c r="AM84" s="17">
        <f t="shared" si="3"/>
        <v>661.7</v>
      </c>
      <c r="AN84" s="11" t="s">
        <v>120</v>
      </c>
      <c r="AO84" s="15"/>
      <c r="AP84" s="11" t="s">
        <v>56</v>
      </c>
      <c r="AQ84" s="18">
        <v>509.0</v>
      </c>
      <c r="AR84" s="32" t="s">
        <v>423</v>
      </c>
      <c r="AS84" s="20">
        <v>44613.0</v>
      </c>
      <c r="AT84" s="23"/>
      <c r="AU84" s="24"/>
      <c r="AV84" s="15"/>
      <c r="AW84" s="23"/>
      <c r="AX84" s="24"/>
      <c r="AY84" s="15"/>
      <c r="AZ84" s="17">
        <f t="shared" si="6"/>
        <v>509</v>
      </c>
    </row>
    <row r="85">
      <c r="A85" s="10">
        <v>84.0</v>
      </c>
      <c r="B85" s="15"/>
      <c r="C85" s="12" t="s">
        <v>424</v>
      </c>
      <c r="D85" s="13" t="s">
        <v>425</v>
      </c>
      <c r="E85" s="11" t="s">
        <v>85</v>
      </c>
      <c r="F85" s="27">
        <v>449870.0</v>
      </c>
      <c r="G85" s="15">
        <f t="shared" si="7"/>
        <v>2</v>
      </c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21"/>
      <c r="U85" s="16">
        <v>2.0</v>
      </c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1"/>
      <c r="AK85" s="15"/>
      <c r="AL85" s="17">
        <f t="shared" si="2"/>
        <v>4.547165</v>
      </c>
      <c r="AM85" s="17">
        <f t="shared" si="3"/>
        <v>8.444735</v>
      </c>
      <c r="AN85" s="15"/>
      <c r="AO85" s="15"/>
      <c r="AP85" s="11" t="s">
        <v>56</v>
      </c>
      <c r="AQ85" s="18">
        <f>766.19/100</f>
        <v>7.6619</v>
      </c>
      <c r="AR85" s="22" t="s">
        <v>426</v>
      </c>
      <c r="AS85" s="20">
        <v>44606.0</v>
      </c>
      <c r="AT85" s="18">
        <v>5.33</v>
      </c>
      <c r="AU85" s="32" t="s">
        <v>427</v>
      </c>
      <c r="AV85" s="20">
        <v>44613.0</v>
      </c>
      <c r="AW85" s="23"/>
      <c r="AX85" s="24"/>
      <c r="AY85" s="15"/>
      <c r="AZ85" s="17">
        <f t="shared" si="6"/>
        <v>6.49595</v>
      </c>
    </row>
    <row r="86">
      <c r="A86" s="10">
        <v>85.0</v>
      </c>
      <c r="B86" s="11">
        <v>2.100000002E10</v>
      </c>
      <c r="C86" s="12" t="s">
        <v>428</v>
      </c>
      <c r="D86" s="13" t="s">
        <v>429</v>
      </c>
      <c r="E86" s="11" t="s">
        <v>97</v>
      </c>
      <c r="F86" s="27">
        <v>366502.0</v>
      </c>
      <c r="G86" s="15">
        <f t="shared" si="7"/>
        <v>10500</v>
      </c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1">
        <v>500.0</v>
      </c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1">
        <v>2500.0</v>
      </c>
      <c r="AJ86" s="16">
        <v>7500.0</v>
      </c>
      <c r="AK86" s="11" t="s">
        <v>63</v>
      </c>
      <c r="AL86" s="17">
        <f t="shared" si="2"/>
        <v>0.06832933333</v>
      </c>
      <c r="AM86" s="17">
        <f t="shared" si="3"/>
        <v>0.1268973333</v>
      </c>
      <c r="AN86" s="11" t="s">
        <v>55</v>
      </c>
      <c r="AO86" s="11" t="s">
        <v>1</v>
      </c>
      <c r="AP86" s="11" t="s">
        <v>56</v>
      </c>
      <c r="AQ86" s="23">
        <f>57.14/500 </f>
        <v>0.11428</v>
      </c>
      <c r="AR86" s="22" t="s">
        <v>430</v>
      </c>
      <c r="AS86" s="34">
        <v>44607.0</v>
      </c>
      <c r="AT86" s="23">
        <f>47.61/500</f>
        <v>0.09522</v>
      </c>
      <c r="AU86" s="22" t="s">
        <v>431</v>
      </c>
      <c r="AV86" s="20">
        <v>44606.0</v>
      </c>
      <c r="AW86" s="23">
        <f>41.67/500</f>
        <v>0.08334</v>
      </c>
      <c r="AX86" s="22" t="s">
        <v>432</v>
      </c>
      <c r="AY86" s="34">
        <v>44607.0</v>
      </c>
      <c r="AZ86" s="17">
        <f t="shared" si="6"/>
        <v>0.09761333333</v>
      </c>
    </row>
    <row r="87">
      <c r="A87" s="10">
        <v>86.0</v>
      </c>
      <c r="B87" s="11">
        <v>2.1000000481E10</v>
      </c>
      <c r="C87" s="12" t="s">
        <v>433</v>
      </c>
      <c r="D87" s="13" t="s">
        <v>434</v>
      </c>
      <c r="E87" s="11" t="s">
        <v>140</v>
      </c>
      <c r="F87" s="27">
        <v>414964.0</v>
      </c>
      <c r="G87" s="15">
        <f t="shared" si="7"/>
        <v>3</v>
      </c>
      <c r="H87" s="15"/>
      <c r="I87" s="15"/>
      <c r="J87" s="15"/>
      <c r="K87" s="15"/>
      <c r="L87" s="15"/>
      <c r="M87" s="15"/>
      <c r="N87" s="15"/>
      <c r="O87" s="15"/>
      <c r="P87" s="21">
        <v>3.0</v>
      </c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1" t="s">
        <v>435</v>
      </c>
      <c r="AL87" s="17">
        <f t="shared" si="2"/>
        <v>57.113</v>
      </c>
      <c r="AM87" s="17">
        <f t="shared" si="3"/>
        <v>106.067</v>
      </c>
      <c r="AN87" s="11" t="s">
        <v>55</v>
      </c>
      <c r="AO87" s="11" t="s">
        <v>1</v>
      </c>
      <c r="AP87" s="11" t="s">
        <v>56</v>
      </c>
      <c r="AQ87" s="18">
        <v>27.28</v>
      </c>
      <c r="AR87" s="19" t="s">
        <v>436</v>
      </c>
      <c r="AS87" s="20">
        <v>44606.0</v>
      </c>
      <c r="AT87" s="18">
        <v>131.65</v>
      </c>
      <c r="AU87" s="19" t="s">
        <v>437</v>
      </c>
      <c r="AV87" s="20">
        <v>44606.0</v>
      </c>
      <c r="AW87" s="18">
        <v>85.84</v>
      </c>
      <c r="AX87" s="19" t="s">
        <v>438</v>
      </c>
      <c r="AY87" s="20">
        <v>44606.0</v>
      </c>
      <c r="AZ87" s="17">
        <f>AVERAGE(AQ87,AT87,AW87)</f>
        <v>81.59</v>
      </c>
    </row>
    <row r="88">
      <c r="A88" s="10">
        <v>87.0</v>
      </c>
      <c r="B88" s="11">
        <v>2.1000000482E10</v>
      </c>
      <c r="C88" s="12" t="s">
        <v>439</v>
      </c>
      <c r="D88" s="13" t="s">
        <v>440</v>
      </c>
      <c r="E88" s="11" t="s">
        <v>140</v>
      </c>
      <c r="F88" s="14">
        <v>327377.0</v>
      </c>
      <c r="G88" s="15">
        <f t="shared" si="7"/>
        <v>4</v>
      </c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21">
        <v>2.0</v>
      </c>
      <c r="Y88" s="15"/>
      <c r="Z88" s="15"/>
      <c r="AA88" s="15"/>
      <c r="AB88" s="11">
        <v>2.0</v>
      </c>
      <c r="AC88" s="15"/>
      <c r="AD88" s="15"/>
      <c r="AE88" s="15"/>
      <c r="AF88" s="15"/>
      <c r="AG88" s="15"/>
      <c r="AH88" s="15"/>
      <c r="AI88" s="15"/>
      <c r="AJ88" s="15"/>
      <c r="AK88" s="11" t="s">
        <v>435</v>
      </c>
      <c r="AL88" s="17">
        <f t="shared" si="2"/>
        <v>31.91066667</v>
      </c>
      <c r="AM88" s="17">
        <f t="shared" si="3"/>
        <v>59.26266667</v>
      </c>
      <c r="AN88" s="11" t="s">
        <v>55</v>
      </c>
      <c r="AO88" s="11" t="s">
        <v>1</v>
      </c>
      <c r="AP88" s="11" t="s">
        <v>56</v>
      </c>
      <c r="AQ88" s="18">
        <v>31.7</v>
      </c>
      <c r="AR88" s="19" t="s">
        <v>441</v>
      </c>
      <c r="AS88" s="20">
        <v>44606.0</v>
      </c>
      <c r="AT88" s="18">
        <v>71.4</v>
      </c>
      <c r="AU88" s="19" t="s">
        <v>442</v>
      </c>
      <c r="AV88" s="20">
        <v>44606.0</v>
      </c>
      <c r="AW88" s="18">
        <v>33.66</v>
      </c>
      <c r="AX88" s="19" t="s">
        <v>443</v>
      </c>
      <c r="AY88" s="20">
        <v>44606.0</v>
      </c>
      <c r="AZ88" s="17">
        <f t="shared" ref="AZ88:AZ178" si="8">AVERAGE(AW88,AQ88,AT88)</f>
        <v>45.58666667</v>
      </c>
    </row>
    <row r="89">
      <c r="A89" s="10">
        <v>88.0</v>
      </c>
      <c r="B89" s="11">
        <v>2.1000000158E10</v>
      </c>
      <c r="C89" s="47" t="s">
        <v>444</v>
      </c>
      <c r="D89" s="13" t="s">
        <v>445</v>
      </c>
      <c r="E89" s="11" t="s">
        <v>62</v>
      </c>
      <c r="F89" s="27">
        <v>352740.0</v>
      </c>
      <c r="G89" s="15">
        <f t="shared" si="7"/>
        <v>30</v>
      </c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21">
        <v>10.0</v>
      </c>
      <c r="AJ89" s="11">
        <v>20.0</v>
      </c>
      <c r="AK89" s="15"/>
      <c r="AL89" s="17">
        <f t="shared" si="2"/>
        <v>80.85</v>
      </c>
      <c r="AM89" s="17">
        <f t="shared" si="3"/>
        <v>150.15</v>
      </c>
      <c r="AN89" s="11" t="s">
        <v>55</v>
      </c>
      <c r="AO89" s="11" t="s">
        <v>1</v>
      </c>
      <c r="AP89" s="11" t="s">
        <v>56</v>
      </c>
      <c r="AQ89" s="18">
        <v>115.21</v>
      </c>
      <c r="AR89" s="19" t="s">
        <v>446</v>
      </c>
      <c r="AS89" s="34">
        <v>44607.0</v>
      </c>
      <c r="AT89" s="18">
        <v>64.63</v>
      </c>
      <c r="AU89" s="32" t="s">
        <v>227</v>
      </c>
      <c r="AV89" s="34">
        <v>44613.0</v>
      </c>
      <c r="AW89" s="18">
        <v>166.66</v>
      </c>
      <c r="AX89" s="19" t="s">
        <v>447</v>
      </c>
      <c r="AY89" s="34">
        <v>44607.0</v>
      </c>
      <c r="AZ89" s="17">
        <f t="shared" si="8"/>
        <v>115.5</v>
      </c>
    </row>
    <row r="90">
      <c r="A90" s="10">
        <v>89.0</v>
      </c>
      <c r="B90" s="11">
        <v>2.100000016E10</v>
      </c>
      <c r="C90" s="12" t="s">
        <v>448</v>
      </c>
      <c r="D90" s="13" t="s">
        <v>449</v>
      </c>
      <c r="E90" s="11" t="s">
        <v>62</v>
      </c>
      <c r="F90" s="14">
        <v>456251.0</v>
      </c>
      <c r="G90" s="15">
        <f t="shared" si="7"/>
        <v>7</v>
      </c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21">
        <v>3.0</v>
      </c>
      <c r="X90" s="15"/>
      <c r="Y90" s="15"/>
      <c r="Z90" s="15"/>
      <c r="AA90" s="15"/>
      <c r="AB90" s="15"/>
      <c r="AC90" s="15">
        <v>1.0</v>
      </c>
      <c r="AD90" s="15"/>
      <c r="AE90" s="15"/>
      <c r="AF90" s="15"/>
      <c r="AG90" s="15"/>
      <c r="AH90" s="15"/>
      <c r="AI90" s="11">
        <v>3.0</v>
      </c>
      <c r="AJ90" s="15"/>
      <c r="AK90" s="11" t="s">
        <v>435</v>
      </c>
      <c r="AL90" s="17">
        <f t="shared" si="2"/>
        <v>118.51</v>
      </c>
      <c r="AM90" s="17">
        <f t="shared" si="3"/>
        <v>220.09</v>
      </c>
      <c r="AN90" s="11" t="s">
        <v>55</v>
      </c>
      <c r="AO90" s="11" t="s">
        <v>1</v>
      </c>
      <c r="AP90" s="11" t="s">
        <v>56</v>
      </c>
      <c r="AQ90" s="18">
        <v>189.68</v>
      </c>
      <c r="AR90" s="19" t="s">
        <v>450</v>
      </c>
      <c r="AS90" s="20">
        <v>44606.0</v>
      </c>
      <c r="AT90" s="18">
        <v>76.13</v>
      </c>
      <c r="AU90" s="32" t="s">
        <v>227</v>
      </c>
      <c r="AV90" s="20">
        <v>44613.0</v>
      </c>
      <c r="AW90" s="18">
        <v>242.09</v>
      </c>
      <c r="AX90" s="32" t="s">
        <v>451</v>
      </c>
      <c r="AY90" s="15"/>
      <c r="AZ90" s="17">
        <f t="shared" si="8"/>
        <v>169.3</v>
      </c>
    </row>
    <row r="91">
      <c r="A91" s="10">
        <v>90.0</v>
      </c>
      <c r="B91" s="11">
        <v>2.1000000177E10</v>
      </c>
      <c r="C91" s="12" t="s">
        <v>452</v>
      </c>
      <c r="D91" s="13" t="s">
        <v>453</v>
      </c>
      <c r="E91" s="11" t="s">
        <v>97</v>
      </c>
      <c r="F91" s="14">
        <v>374800.0</v>
      </c>
      <c r="G91" s="15">
        <f t="shared" si="7"/>
        <v>500</v>
      </c>
      <c r="H91" s="15"/>
      <c r="I91" s="15"/>
      <c r="J91" s="15"/>
      <c r="K91" s="15"/>
      <c r="L91" s="15"/>
      <c r="M91" s="15"/>
      <c r="N91" s="15"/>
      <c r="O91" s="15"/>
      <c r="P91" s="15"/>
      <c r="Q91" s="16">
        <v>500.0</v>
      </c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1" t="s">
        <v>435</v>
      </c>
      <c r="AL91" s="17">
        <f t="shared" si="2"/>
        <v>0.2103406667</v>
      </c>
      <c r="AM91" s="17">
        <f t="shared" si="3"/>
        <v>0.3906326667</v>
      </c>
      <c r="AN91" s="11" t="s">
        <v>55</v>
      </c>
      <c r="AO91" s="11" t="s">
        <v>1</v>
      </c>
      <c r="AP91" s="11" t="s">
        <v>56</v>
      </c>
      <c r="AQ91" s="18">
        <f>103.27/250</f>
        <v>0.41308</v>
      </c>
      <c r="AR91" s="19" t="s">
        <v>454</v>
      </c>
      <c r="AS91" s="20">
        <v>44606.0</v>
      </c>
      <c r="AT91" s="18">
        <f>54/250</f>
        <v>0.216</v>
      </c>
      <c r="AU91" s="19" t="s">
        <v>455</v>
      </c>
      <c r="AV91" s="20">
        <v>44606.0</v>
      </c>
      <c r="AW91" s="23">
        <f>136.19/500</f>
        <v>0.27238</v>
      </c>
      <c r="AX91" s="19" t="s">
        <v>456</v>
      </c>
      <c r="AY91" s="34">
        <v>44607.0</v>
      </c>
      <c r="AZ91" s="17">
        <f t="shared" si="8"/>
        <v>0.3004866667</v>
      </c>
    </row>
    <row r="92">
      <c r="A92" s="10">
        <v>91.0</v>
      </c>
      <c r="B92" s="11">
        <v>2.1000000181E10</v>
      </c>
      <c r="C92" s="12" t="s">
        <v>457</v>
      </c>
      <c r="D92" s="13" t="s">
        <v>458</v>
      </c>
      <c r="E92" s="11" t="s">
        <v>62</v>
      </c>
      <c r="F92" s="14">
        <v>362990.0</v>
      </c>
      <c r="G92" s="15">
        <f t="shared" si="7"/>
        <v>10</v>
      </c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6">
        <v>10.0</v>
      </c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1" t="s">
        <v>435</v>
      </c>
      <c r="AL92" s="17">
        <f t="shared" si="2"/>
        <v>11.46226667</v>
      </c>
      <c r="AM92" s="17">
        <f t="shared" si="3"/>
        <v>21.28706667</v>
      </c>
      <c r="AN92" s="11" t="s">
        <v>55</v>
      </c>
      <c r="AO92" s="11" t="s">
        <v>1</v>
      </c>
      <c r="AP92" s="11" t="s">
        <v>56</v>
      </c>
      <c r="AQ92" s="18">
        <v>30.0</v>
      </c>
      <c r="AR92" s="19" t="s">
        <v>459</v>
      </c>
      <c r="AS92" s="20">
        <v>44606.0</v>
      </c>
      <c r="AT92" s="18">
        <f>51.99/5</f>
        <v>10.398</v>
      </c>
      <c r="AU92" s="19" t="s">
        <v>460</v>
      </c>
      <c r="AV92" s="20">
        <v>44606.0</v>
      </c>
      <c r="AW92" s="18">
        <f>43.63/5</f>
        <v>8.726</v>
      </c>
      <c r="AX92" s="19" t="s">
        <v>461</v>
      </c>
      <c r="AY92" s="20">
        <v>44606.0</v>
      </c>
      <c r="AZ92" s="17">
        <f t="shared" si="8"/>
        <v>16.37466667</v>
      </c>
    </row>
    <row r="93">
      <c r="A93" s="10">
        <v>92.0</v>
      </c>
      <c r="B93" s="11">
        <v>2.1000000255E10</v>
      </c>
      <c r="C93" s="12" t="s">
        <v>462</v>
      </c>
      <c r="D93" s="13" t="s">
        <v>463</v>
      </c>
      <c r="E93" s="11" t="s">
        <v>62</v>
      </c>
      <c r="F93" s="14">
        <v>357876.0</v>
      </c>
      <c r="G93" s="15">
        <f t="shared" si="7"/>
        <v>216</v>
      </c>
      <c r="H93" s="15"/>
      <c r="I93" s="21"/>
      <c r="J93" s="21">
        <v>4.0</v>
      </c>
      <c r="K93" s="15"/>
      <c r="L93" s="15"/>
      <c r="M93" s="15"/>
      <c r="N93" s="15"/>
      <c r="O93" s="15"/>
      <c r="P93" s="11">
        <v>13.0</v>
      </c>
      <c r="Q93" s="15"/>
      <c r="R93" s="15"/>
      <c r="S93" s="15"/>
      <c r="T93" s="15"/>
      <c r="U93" s="15"/>
      <c r="V93" s="15"/>
      <c r="W93" s="11">
        <v>3.0</v>
      </c>
      <c r="X93" s="15"/>
      <c r="Y93" s="15"/>
      <c r="Z93" s="15"/>
      <c r="AA93" s="15"/>
      <c r="AB93" s="11">
        <v>96.0</v>
      </c>
      <c r="AC93" s="15"/>
      <c r="AD93" s="15"/>
      <c r="AE93" s="15"/>
      <c r="AF93" s="15"/>
      <c r="AG93" s="15"/>
      <c r="AH93" s="15"/>
      <c r="AI93" s="15"/>
      <c r="AJ93" s="11">
        <v>100.0</v>
      </c>
      <c r="AK93" s="11" t="s">
        <v>435</v>
      </c>
      <c r="AL93" s="17">
        <f t="shared" si="2"/>
        <v>18.0355</v>
      </c>
      <c r="AM93" s="17">
        <f t="shared" si="3"/>
        <v>33.4945</v>
      </c>
      <c r="AN93" s="11" t="s">
        <v>55</v>
      </c>
      <c r="AO93" s="11" t="s">
        <v>1</v>
      </c>
      <c r="AP93" s="11" t="s">
        <v>56</v>
      </c>
      <c r="AQ93" s="18">
        <v>21.53</v>
      </c>
      <c r="AR93" s="19" t="s">
        <v>464</v>
      </c>
      <c r="AS93" s="20">
        <v>44606.0</v>
      </c>
      <c r="AT93" s="18">
        <v>30.0</v>
      </c>
      <c r="AU93" s="22" t="s">
        <v>465</v>
      </c>
      <c r="AV93" s="20">
        <v>44606.0</v>
      </c>
      <c r="AW93" s="23"/>
      <c r="AX93" s="24"/>
      <c r="AY93" s="15"/>
      <c r="AZ93" s="17">
        <f t="shared" si="8"/>
        <v>25.765</v>
      </c>
    </row>
    <row r="94">
      <c r="A94" s="10">
        <v>93.0</v>
      </c>
      <c r="B94" s="11">
        <v>2.1000000319E10</v>
      </c>
      <c r="C94" s="12" t="s">
        <v>466</v>
      </c>
      <c r="D94" s="13" t="s">
        <v>467</v>
      </c>
      <c r="E94" s="11" t="s">
        <v>97</v>
      </c>
      <c r="F94" s="14">
        <v>352749.0</v>
      </c>
      <c r="G94" s="15">
        <f t="shared" si="7"/>
        <v>3000</v>
      </c>
      <c r="H94" s="15"/>
      <c r="I94" s="15"/>
      <c r="J94" s="15"/>
      <c r="K94" s="15"/>
      <c r="L94" s="15"/>
      <c r="M94" s="15"/>
      <c r="N94" s="15"/>
      <c r="O94" s="15"/>
      <c r="P94" s="15"/>
      <c r="Q94" s="16">
        <v>1000.0</v>
      </c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1">
        <v>2000.0</v>
      </c>
      <c r="AJ94" s="15"/>
      <c r="AK94" s="11" t="s">
        <v>63</v>
      </c>
      <c r="AL94" s="17">
        <f t="shared" si="2"/>
        <v>0.06238633333</v>
      </c>
      <c r="AM94" s="17">
        <f t="shared" si="3"/>
        <v>0.1158603333</v>
      </c>
      <c r="AN94" s="11" t="s">
        <v>55</v>
      </c>
      <c r="AO94" s="11" t="s">
        <v>1</v>
      </c>
      <c r="AP94" s="11" t="s">
        <v>56</v>
      </c>
      <c r="AQ94" s="18">
        <f>56.25/500</f>
        <v>0.1125</v>
      </c>
      <c r="AR94" s="19" t="s">
        <v>468</v>
      </c>
      <c r="AS94" s="34">
        <v>44607.0</v>
      </c>
      <c r="AT94" s="23">
        <f>75.33/1000</f>
        <v>0.07533</v>
      </c>
      <c r="AU94" s="19" t="s">
        <v>469</v>
      </c>
      <c r="AV94" s="34">
        <v>44607.0</v>
      </c>
      <c r="AW94" s="23">
        <f>39.77/500</f>
        <v>0.07954</v>
      </c>
      <c r="AX94" s="19" t="s">
        <v>470</v>
      </c>
      <c r="AY94" s="34">
        <v>44607.0</v>
      </c>
      <c r="AZ94" s="17">
        <f t="shared" si="8"/>
        <v>0.08912333333</v>
      </c>
    </row>
    <row r="95">
      <c r="A95" s="10">
        <v>94.0</v>
      </c>
      <c r="B95" s="11">
        <v>2.1000000256E10</v>
      </c>
      <c r="C95" s="12" t="s">
        <v>471</v>
      </c>
      <c r="D95" s="13" t="s">
        <v>472</v>
      </c>
      <c r="E95" s="11" t="s">
        <v>97</v>
      </c>
      <c r="F95" s="14">
        <v>347723.0</v>
      </c>
      <c r="G95" s="15">
        <f t="shared" si="7"/>
        <v>13000</v>
      </c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1">
        <v>2500.0</v>
      </c>
      <c r="AH95" s="15"/>
      <c r="AI95" s="21">
        <v>3000.0</v>
      </c>
      <c r="AJ95" s="11">
        <v>7500.0</v>
      </c>
      <c r="AK95" s="15"/>
      <c r="AL95" s="17">
        <f t="shared" si="2"/>
        <v>0.05167166667</v>
      </c>
      <c r="AM95" s="17">
        <f t="shared" si="3"/>
        <v>0.09596166667</v>
      </c>
      <c r="AN95" s="11" t="s">
        <v>55</v>
      </c>
      <c r="AO95" s="11" t="s">
        <v>1</v>
      </c>
      <c r="AP95" s="11" t="s">
        <v>56</v>
      </c>
      <c r="AQ95" s="23">
        <f t="shared" ref="AQ95:AQ96" si="9">46.88/500</f>
        <v>0.09376</v>
      </c>
      <c r="AR95" s="22" t="s">
        <v>473</v>
      </c>
      <c r="AS95" s="34">
        <v>44607.0</v>
      </c>
      <c r="AT95" s="23">
        <f>52.87/1000</f>
        <v>0.05287</v>
      </c>
      <c r="AU95" s="19" t="s">
        <v>474</v>
      </c>
      <c r="AV95" s="34">
        <v>44607.0</v>
      </c>
      <c r="AW95" s="23">
        <f>37.41/500</f>
        <v>0.07482</v>
      </c>
      <c r="AX95" s="22" t="s">
        <v>475</v>
      </c>
      <c r="AY95" s="34">
        <v>44607.0</v>
      </c>
      <c r="AZ95" s="17">
        <f t="shared" si="8"/>
        <v>0.07381666667</v>
      </c>
    </row>
    <row r="96">
      <c r="A96" s="10">
        <v>95.0</v>
      </c>
      <c r="B96" s="11">
        <v>2.1000000257E10</v>
      </c>
      <c r="C96" s="12" t="s">
        <v>476</v>
      </c>
      <c r="D96" s="13" t="s">
        <v>477</v>
      </c>
      <c r="E96" s="11" t="s">
        <v>97</v>
      </c>
      <c r="F96" s="14">
        <v>410732.0</v>
      </c>
      <c r="G96" s="15">
        <f t="shared" si="7"/>
        <v>6000</v>
      </c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21">
        <v>1000.0</v>
      </c>
      <c r="AB96" s="15"/>
      <c r="AC96" s="15"/>
      <c r="AD96" s="15"/>
      <c r="AE96" s="15"/>
      <c r="AF96" s="11"/>
      <c r="AG96" s="11">
        <v>5000.0</v>
      </c>
      <c r="AH96" s="15"/>
      <c r="AI96" s="15"/>
      <c r="AJ96" s="15"/>
      <c r="AK96" s="11" t="s">
        <v>63</v>
      </c>
      <c r="AL96" s="17">
        <f t="shared" si="2"/>
        <v>0.05610733333</v>
      </c>
      <c r="AM96" s="17">
        <f t="shared" si="3"/>
        <v>0.1041993333</v>
      </c>
      <c r="AN96" s="11" t="s">
        <v>55</v>
      </c>
      <c r="AO96" s="11" t="s">
        <v>1</v>
      </c>
      <c r="AP96" s="11" t="s">
        <v>56</v>
      </c>
      <c r="AQ96" s="23">
        <f t="shared" si="9"/>
        <v>0.09376</v>
      </c>
      <c r="AR96" s="19" t="s">
        <v>478</v>
      </c>
      <c r="AS96" s="34">
        <v>44607.0</v>
      </c>
      <c r="AT96" s="23">
        <f>79.52/1000</f>
        <v>0.07952</v>
      </c>
      <c r="AU96" s="19" t="s">
        <v>479</v>
      </c>
      <c r="AV96" s="34">
        <v>44607.0</v>
      </c>
      <c r="AW96" s="23">
        <f>67.18/1000</f>
        <v>0.06718</v>
      </c>
      <c r="AX96" s="48" t="s">
        <v>480</v>
      </c>
      <c r="AY96" s="34">
        <v>44607.0</v>
      </c>
      <c r="AZ96" s="17">
        <f t="shared" si="8"/>
        <v>0.08015333333</v>
      </c>
    </row>
    <row r="97">
      <c r="A97" s="10">
        <v>96.0</v>
      </c>
      <c r="B97" s="11">
        <v>2.1000000391E10</v>
      </c>
      <c r="C97" s="12" t="s">
        <v>481</v>
      </c>
      <c r="D97" s="13" t="s">
        <v>482</v>
      </c>
      <c r="E97" s="11" t="s">
        <v>97</v>
      </c>
      <c r="F97" s="14">
        <v>347727.0</v>
      </c>
      <c r="G97" s="15">
        <f t="shared" si="7"/>
        <v>1000</v>
      </c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21">
        <v>1000.0</v>
      </c>
      <c r="AB97" s="15"/>
      <c r="AC97" s="15"/>
      <c r="AD97" s="15"/>
      <c r="AE97" s="15"/>
      <c r="AF97" s="15"/>
      <c r="AG97" s="15"/>
      <c r="AH97" s="15"/>
      <c r="AI97" s="15"/>
      <c r="AJ97" s="15"/>
      <c r="AK97" s="11" t="s">
        <v>63</v>
      </c>
      <c r="AL97" s="17">
        <f t="shared" si="2"/>
        <v>0.0585515</v>
      </c>
      <c r="AM97" s="17">
        <f t="shared" si="3"/>
        <v>0.1087385</v>
      </c>
      <c r="AN97" s="11" t="s">
        <v>55</v>
      </c>
      <c r="AO97" s="11" t="s">
        <v>1</v>
      </c>
      <c r="AP97" s="11" t="s">
        <v>56</v>
      </c>
      <c r="AQ97" s="23">
        <f>94.91/1000</f>
        <v>0.09491</v>
      </c>
      <c r="AR97" s="19" t="s">
        <v>483</v>
      </c>
      <c r="AS97" s="34">
        <v>44607.0</v>
      </c>
      <c r="AT97" s="23">
        <f>36.19/500</f>
        <v>0.07238</v>
      </c>
      <c r="AU97" s="19" t="s">
        <v>484</v>
      </c>
      <c r="AV97" s="34">
        <v>44607.0</v>
      </c>
      <c r="AW97" s="23"/>
      <c r="AX97" s="24"/>
      <c r="AY97" s="15"/>
      <c r="AZ97" s="17">
        <f t="shared" si="8"/>
        <v>0.083645</v>
      </c>
    </row>
    <row r="98">
      <c r="A98" s="10">
        <v>97.0</v>
      </c>
      <c r="B98" s="11">
        <v>2.1000000389E10</v>
      </c>
      <c r="C98" s="12" t="s">
        <v>485</v>
      </c>
      <c r="D98" s="13" t="s">
        <v>486</v>
      </c>
      <c r="E98" s="11" t="s">
        <v>85</v>
      </c>
      <c r="F98" s="14">
        <v>352755.0</v>
      </c>
      <c r="G98" s="15">
        <f t="shared" si="7"/>
        <v>1</v>
      </c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6">
        <v>1.0</v>
      </c>
      <c r="AB98" s="15"/>
      <c r="AC98" s="15"/>
      <c r="AD98" s="15"/>
      <c r="AE98" s="15"/>
      <c r="AF98" s="15"/>
      <c r="AG98" s="15"/>
      <c r="AH98" s="15"/>
      <c r="AI98" s="15"/>
      <c r="AJ98" s="15"/>
      <c r="AK98" s="11" t="s">
        <v>63</v>
      </c>
      <c r="AL98" s="17">
        <f t="shared" si="2"/>
        <v>0.02976633333</v>
      </c>
      <c r="AM98" s="17">
        <f t="shared" si="3"/>
        <v>0.05528033333</v>
      </c>
      <c r="AN98" s="11" t="s">
        <v>55</v>
      </c>
      <c r="AO98" s="11" t="s">
        <v>1</v>
      </c>
      <c r="AP98" s="11" t="s">
        <v>56</v>
      </c>
      <c r="AQ98" s="18">
        <f>35.71/1000</f>
        <v>0.03571</v>
      </c>
      <c r="AR98" s="19" t="s">
        <v>487</v>
      </c>
      <c r="AS98" s="34">
        <v>44607.0</v>
      </c>
      <c r="AT98" s="23">
        <f>21.11/500</f>
        <v>0.04222</v>
      </c>
      <c r="AU98" s="22" t="s">
        <v>488</v>
      </c>
      <c r="AV98" s="34">
        <v>44607.0</v>
      </c>
      <c r="AW98" s="23">
        <f>49.64/1000</f>
        <v>0.04964</v>
      </c>
      <c r="AX98" s="19" t="s">
        <v>489</v>
      </c>
      <c r="AY98" s="34">
        <v>44607.0</v>
      </c>
      <c r="AZ98" s="17">
        <f t="shared" si="8"/>
        <v>0.04252333333</v>
      </c>
    </row>
    <row r="99">
      <c r="A99" s="10">
        <v>98.0</v>
      </c>
      <c r="B99" s="11">
        <v>2.1000000132E10</v>
      </c>
      <c r="C99" s="12" t="s">
        <v>490</v>
      </c>
      <c r="D99" s="13" t="s">
        <v>491</v>
      </c>
      <c r="E99" s="11" t="s">
        <v>140</v>
      </c>
      <c r="F99" s="14">
        <v>347012.0</v>
      </c>
      <c r="G99" s="15">
        <f t="shared" si="7"/>
        <v>1</v>
      </c>
      <c r="H99" s="15"/>
      <c r="I99" s="21"/>
      <c r="J99" s="21">
        <v>1.0</v>
      </c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7">
        <f t="shared" si="2"/>
        <v>51.43366667</v>
      </c>
      <c r="AM99" s="17">
        <f t="shared" si="3"/>
        <v>95.51966667</v>
      </c>
      <c r="AN99" s="11" t="s">
        <v>55</v>
      </c>
      <c r="AO99" s="11" t="s">
        <v>1</v>
      </c>
      <c r="AP99" s="11" t="s">
        <v>56</v>
      </c>
      <c r="AQ99" s="18">
        <v>75.0</v>
      </c>
      <c r="AR99" s="19" t="s">
        <v>492</v>
      </c>
      <c r="AS99" s="34">
        <v>44607.0</v>
      </c>
      <c r="AT99" s="18">
        <v>77.94</v>
      </c>
      <c r="AU99" s="22" t="s">
        <v>493</v>
      </c>
      <c r="AV99" s="34">
        <v>44607.0</v>
      </c>
      <c r="AW99" s="18">
        <v>67.49</v>
      </c>
      <c r="AX99" s="22" t="s">
        <v>494</v>
      </c>
      <c r="AY99" s="34">
        <v>44607.0</v>
      </c>
      <c r="AZ99" s="17">
        <f t="shared" si="8"/>
        <v>73.47666667</v>
      </c>
    </row>
    <row r="100">
      <c r="A100" s="10">
        <v>99.0</v>
      </c>
      <c r="B100" s="11">
        <v>2.1000000188E10</v>
      </c>
      <c r="C100" s="12" t="s">
        <v>495</v>
      </c>
      <c r="D100" s="13" t="s">
        <v>496</v>
      </c>
      <c r="E100" s="11" t="s">
        <v>54</v>
      </c>
      <c r="F100" s="14">
        <v>352808.0</v>
      </c>
      <c r="G100" s="15">
        <f t="shared" si="7"/>
        <v>6500</v>
      </c>
      <c r="H100" s="15"/>
      <c r="I100" s="16"/>
      <c r="J100" s="16">
        <v>5000.0</v>
      </c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1"/>
      <c r="AG100" s="11"/>
      <c r="AH100" s="11">
        <v>500.0</v>
      </c>
      <c r="AI100" s="11">
        <v>1000.0</v>
      </c>
      <c r="AJ100" s="15"/>
      <c r="AK100" s="15"/>
      <c r="AL100" s="17">
        <f t="shared" si="2"/>
        <v>0.04315266667</v>
      </c>
      <c r="AM100" s="17">
        <f t="shared" si="3"/>
        <v>0.08014066667</v>
      </c>
      <c r="AN100" s="11" t="s">
        <v>55</v>
      </c>
      <c r="AO100" s="11" t="s">
        <v>1</v>
      </c>
      <c r="AP100" s="11" t="s">
        <v>56</v>
      </c>
      <c r="AQ100" s="23">
        <f>21.14 /500</f>
        <v>0.04228</v>
      </c>
      <c r="AR100" s="19" t="s">
        <v>497</v>
      </c>
      <c r="AS100" s="34">
        <v>44607.0</v>
      </c>
      <c r="AT100" s="23">
        <f>33.83/500</f>
        <v>0.06766</v>
      </c>
      <c r="AU100" s="22" t="s">
        <v>498</v>
      </c>
      <c r="AV100" s="34">
        <v>44607.0</v>
      </c>
      <c r="AW100" s="23">
        <f>37.5/500</f>
        <v>0.075</v>
      </c>
      <c r="AX100" s="19" t="s">
        <v>499</v>
      </c>
      <c r="AY100" s="34">
        <v>44607.0</v>
      </c>
      <c r="AZ100" s="17">
        <f t="shared" si="8"/>
        <v>0.06164666667</v>
      </c>
    </row>
    <row r="101">
      <c r="A101" s="10">
        <v>100.0</v>
      </c>
      <c r="B101" s="11">
        <v>2.1000000126E10</v>
      </c>
      <c r="C101" s="12" t="s">
        <v>500</v>
      </c>
      <c r="D101" s="13" t="s">
        <v>501</v>
      </c>
      <c r="E101" s="11" t="s">
        <v>140</v>
      </c>
      <c r="F101" s="14">
        <v>331825.0</v>
      </c>
      <c r="G101" s="15">
        <f t="shared" si="7"/>
        <v>1</v>
      </c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21">
        <v>1.0</v>
      </c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1" t="s">
        <v>63</v>
      </c>
      <c r="AL101" s="17">
        <f t="shared" si="2"/>
        <v>410.2046667</v>
      </c>
      <c r="AM101" s="17">
        <f t="shared" si="3"/>
        <v>761.8086667</v>
      </c>
      <c r="AN101" s="11" t="s">
        <v>55</v>
      </c>
      <c r="AO101" s="11" t="s">
        <v>1</v>
      </c>
      <c r="AP101" s="11" t="s">
        <v>56</v>
      </c>
      <c r="AQ101" s="18">
        <v>562.5</v>
      </c>
      <c r="AR101" s="22" t="s">
        <v>502</v>
      </c>
      <c r="AS101" s="34">
        <v>44607.0</v>
      </c>
      <c r="AT101" s="18">
        <v>568.71</v>
      </c>
      <c r="AU101" s="19" t="s">
        <v>503</v>
      </c>
      <c r="AV101" s="34">
        <v>44607.0</v>
      </c>
      <c r="AW101" s="18">
        <v>626.81</v>
      </c>
      <c r="AX101" s="19" t="s">
        <v>504</v>
      </c>
      <c r="AY101" s="34">
        <v>44607.0</v>
      </c>
      <c r="AZ101" s="17">
        <f t="shared" si="8"/>
        <v>586.0066667</v>
      </c>
    </row>
    <row r="102">
      <c r="A102" s="10">
        <v>101.0</v>
      </c>
      <c r="B102" s="11">
        <v>2.1000000513E10</v>
      </c>
      <c r="C102" s="47" t="s">
        <v>505</v>
      </c>
      <c r="D102" s="13" t="s">
        <v>506</v>
      </c>
      <c r="E102" s="11" t="s">
        <v>140</v>
      </c>
      <c r="F102" s="27">
        <v>368632.0</v>
      </c>
      <c r="G102" s="15">
        <f t="shared" si="7"/>
        <v>4</v>
      </c>
      <c r="H102" s="15"/>
      <c r="I102" s="15"/>
      <c r="J102" s="15"/>
      <c r="K102" s="15"/>
      <c r="L102" s="15"/>
      <c r="M102" s="15"/>
      <c r="N102" s="15"/>
      <c r="O102" s="15"/>
      <c r="P102" s="21">
        <v>2.0</v>
      </c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1">
        <v>2.0</v>
      </c>
      <c r="AC102" s="15"/>
      <c r="AD102" s="15"/>
      <c r="AE102" s="15"/>
      <c r="AF102" s="15"/>
      <c r="AG102" s="15"/>
      <c r="AH102" s="15"/>
      <c r="AI102" s="15"/>
      <c r="AJ102" s="15"/>
      <c r="AK102" s="11" t="s">
        <v>63</v>
      </c>
      <c r="AL102" s="17">
        <f t="shared" si="2"/>
        <v>160.7083333</v>
      </c>
      <c r="AM102" s="17">
        <f t="shared" si="3"/>
        <v>298.4583333</v>
      </c>
      <c r="AN102" s="11" t="s">
        <v>55</v>
      </c>
      <c r="AO102" s="11" t="s">
        <v>1</v>
      </c>
      <c r="AP102" s="11" t="s">
        <v>56</v>
      </c>
      <c r="AQ102" s="23">
        <f>2*126.31</f>
        <v>252.62</v>
      </c>
      <c r="AR102" s="19" t="s">
        <v>507</v>
      </c>
      <c r="AS102" s="34">
        <v>44607.0</v>
      </c>
      <c r="AT102" s="18">
        <v>123.97</v>
      </c>
      <c r="AU102" s="19" t="s">
        <v>508</v>
      </c>
      <c r="AV102" s="34">
        <v>44607.0</v>
      </c>
      <c r="AW102" s="18">
        <v>312.16</v>
      </c>
      <c r="AX102" s="22" t="s">
        <v>509</v>
      </c>
      <c r="AY102" s="34">
        <v>44607.0</v>
      </c>
      <c r="AZ102" s="17">
        <f t="shared" si="8"/>
        <v>229.5833333</v>
      </c>
    </row>
    <row r="103">
      <c r="A103" s="10">
        <v>102.0</v>
      </c>
      <c r="B103" s="11">
        <v>2.1000000191E10</v>
      </c>
      <c r="C103" s="12" t="s">
        <v>510</v>
      </c>
      <c r="D103" s="13" t="s">
        <v>511</v>
      </c>
      <c r="E103" s="11" t="s">
        <v>62</v>
      </c>
      <c r="F103" s="14">
        <v>354574.0</v>
      </c>
      <c r="G103" s="15">
        <f t="shared" si="7"/>
        <v>20</v>
      </c>
      <c r="H103" s="15"/>
      <c r="I103" s="15"/>
      <c r="J103" s="15"/>
      <c r="K103" s="15"/>
      <c r="L103" s="15"/>
      <c r="M103" s="21"/>
      <c r="N103" s="21"/>
      <c r="O103" s="21">
        <v>10.0</v>
      </c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1">
        <v>10.0</v>
      </c>
      <c r="AJ103" s="15"/>
      <c r="AK103" s="11" t="s">
        <v>63</v>
      </c>
      <c r="AL103" s="17">
        <f t="shared" si="2"/>
        <v>55.216</v>
      </c>
      <c r="AM103" s="17">
        <f t="shared" si="3"/>
        <v>102.544</v>
      </c>
      <c r="AN103" s="11" t="s">
        <v>55</v>
      </c>
      <c r="AO103" s="11" t="s">
        <v>1</v>
      </c>
      <c r="AP103" s="11" t="s">
        <v>56</v>
      </c>
      <c r="AQ103" s="18">
        <v>84.38</v>
      </c>
      <c r="AR103" s="32" t="s">
        <v>512</v>
      </c>
      <c r="AS103" s="20">
        <v>44613.0</v>
      </c>
      <c r="AT103" s="18">
        <v>75.0</v>
      </c>
      <c r="AU103" s="32" t="s">
        <v>513</v>
      </c>
      <c r="AV103" s="20">
        <v>44613.0</v>
      </c>
      <c r="AW103" s="18">
        <v>77.26</v>
      </c>
      <c r="AX103" s="32" t="s">
        <v>514</v>
      </c>
      <c r="AY103" s="20">
        <v>44613.0</v>
      </c>
      <c r="AZ103" s="17">
        <f t="shared" si="8"/>
        <v>78.88</v>
      </c>
    </row>
    <row r="104">
      <c r="A104" s="10">
        <v>103.0</v>
      </c>
      <c r="B104" s="11">
        <v>2.1000000192E10</v>
      </c>
      <c r="C104" s="49" t="s">
        <v>515</v>
      </c>
      <c r="D104" s="13" t="s">
        <v>516</v>
      </c>
      <c r="E104" s="11" t="s">
        <v>97</v>
      </c>
      <c r="F104" s="14">
        <v>353673.0</v>
      </c>
      <c r="G104" s="15">
        <f t="shared" si="7"/>
        <v>500</v>
      </c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21">
        <v>500.0</v>
      </c>
      <c r="AB104" s="15"/>
      <c r="AC104" s="15"/>
      <c r="AD104" s="15"/>
      <c r="AE104" s="15"/>
      <c r="AF104" s="15"/>
      <c r="AG104" s="15"/>
      <c r="AH104" s="15"/>
      <c r="AI104" s="15"/>
      <c r="AJ104" s="15"/>
      <c r="AK104" s="11" t="s">
        <v>63</v>
      </c>
      <c r="AL104" s="17">
        <f t="shared" si="2"/>
        <v>0.281134</v>
      </c>
      <c r="AM104" s="17">
        <f t="shared" si="3"/>
        <v>0.522106</v>
      </c>
      <c r="AN104" s="11" t="s">
        <v>55</v>
      </c>
      <c r="AO104" s="11" t="s">
        <v>1</v>
      </c>
      <c r="AP104" s="11" t="s">
        <v>56</v>
      </c>
      <c r="AQ104" s="23">
        <f>176.62 /500</f>
        <v>0.35324</v>
      </c>
      <c r="AR104" s="22" t="s">
        <v>517</v>
      </c>
      <c r="AS104" s="34">
        <v>44607.0</v>
      </c>
      <c r="AT104" s="23">
        <f>225/500</f>
        <v>0.45</v>
      </c>
      <c r="AU104" s="19" t="s">
        <v>518</v>
      </c>
      <c r="AV104" s="34">
        <v>44607.0</v>
      </c>
      <c r="AW104" s="23"/>
      <c r="AX104" s="24"/>
      <c r="AY104" s="15"/>
      <c r="AZ104" s="17">
        <f t="shared" si="8"/>
        <v>0.40162</v>
      </c>
    </row>
    <row r="105">
      <c r="A105" s="10">
        <v>104.0</v>
      </c>
      <c r="B105" s="11">
        <v>2.1000000197E10</v>
      </c>
      <c r="C105" s="12" t="s">
        <v>519</v>
      </c>
      <c r="D105" s="13" t="s">
        <v>520</v>
      </c>
      <c r="E105" s="11" t="s">
        <v>85</v>
      </c>
      <c r="F105" s="14">
        <v>355207.0</v>
      </c>
      <c r="G105" s="15">
        <f t="shared" si="7"/>
        <v>62</v>
      </c>
      <c r="H105" s="11">
        <v>4.0</v>
      </c>
      <c r="I105" s="15"/>
      <c r="J105" s="11">
        <v>2.0</v>
      </c>
      <c r="K105" s="11">
        <v>4.0</v>
      </c>
      <c r="L105" s="15"/>
      <c r="M105" s="21"/>
      <c r="N105" s="21"/>
      <c r="O105" s="21">
        <f>7+7</f>
        <v>14</v>
      </c>
      <c r="P105" s="15"/>
      <c r="Q105" s="15"/>
      <c r="R105" s="11">
        <f>7+7</f>
        <v>14</v>
      </c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1">
        <f>20+2</f>
        <v>22</v>
      </c>
      <c r="AJ105" s="11">
        <v>2.0</v>
      </c>
      <c r="AK105" s="15"/>
      <c r="AL105" s="17">
        <f t="shared" si="2"/>
        <v>37.76033333</v>
      </c>
      <c r="AM105" s="17">
        <f t="shared" si="3"/>
        <v>70.12633333</v>
      </c>
      <c r="AN105" s="11" t="s">
        <v>55</v>
      </c>
      <c r="AO105" s="11" t="s">
        <v>1</v>
      </c>
      <c r="AP105" s="11" t="s">
        <v>56</v>
      </c>
      <c r="AQ105" s="18">
        <f>30.43*2</f>
        <v>60.86</v>
      </c>
      <c r="AR105" s="19" t="s">
        <v>521</v>
      </c>
      <c r="AS105" s="34">
        <v>44609.0</v>
      </c>
      <c r="AT105" s="18">
        <v>56.25</v>
      </c>
      <c r="AU105" s="19" t="s">
        <v>522</v>
      </c>
      <c r="AV105" s="34">
        <v>44609.0</v>
      </c>
      <c r="AW105" s="23">
        <f>22.36*2</f>
        <v>44.72</v>
      </c>
      <c r="AX105" s="19" t="s">
        <v>523</v>
      </c>
      <c r="AY105" s="34">
        <v>44609.0</v>
      </c>
      <c r="AZ105" s="17">
        <f t="shared" si="8"/>
        <v>53.94333333</v>
      </c>
    </row>
    <row r="106">
      <c r="A106" s="10">
        <v>105.0</v>
      </c>
      <c r="B106" s="11">
        <v>2.1000000514E10</v>
      </c>
      <c r="C106" s="12" t="s">
        <v>524</v>
      </c>
      <c r="D106" s="13" t="s">
        <v>525</v>
      </c>
      <c r="E106" s="11" t="s">
        <v>140</v>
      </c>
      <c r="F106" s="14">
        <v>372437.0</v>
      </c>
      <c r="G106" s="15">
        <f t="shared" si="7"/>
        <v>3</v>
      </c>
      <c r="H106" s="15"/>
      <c r="I106" s="15"/>
      <c r="J106" s="15"/>
      <c r="K106" s="15"/>
      <c r="L106" s="15"/>
      <c r="M106" s="15"/>
      <c r="N106" s="15"/>
      <c r="O106" s="15"/>
      <c r="P106" s="21">
        <v>3.0</v>
      </c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7">
        <f t="shared" si="2"/>
        <v>264.5965</v>
      </c>
      <c r="AM106" s="17">
        <f t="shared" si="3"/>
        <v>491.3935</v>
      </c>
      <c r="AN106" s="11" t="s">
        <v>55</v>
      </c>
      <c r="AO106" s="11" t="s">
        <v>1</v>
      </c>
      <c r="AP106" s="11" t="s">
        <v>56</v>
      </c>
      <c r="AQ106" s="18">
        <v>446.4</v>
      </c>
      <c r="AR106" s="22" t="s">
        <v>526</v>
      </c>
      <c r="AS106" s="34">
        <v>44607.0</v>
      </c>
      <c r="AT106" s="18">
        <v>309.59</v>
      </c>
      <c r="AU106" s="19" t="s">
        <v>527</v>
      </c>
      <c r="AV106" s="34">
        <v>44607.0</v>
      </c>
      <c r="AW106" s="23"/>
      <c r="AX106" s="24"/>
      <c r="AY106" s="15"/>
      <c r="AZ106" s="17">
        <f t="shared" si="8"/>
        <v>377.995</v>
      </c>
    </row>
    <row r="107">
      <c r="A107" s="10">
        <v>106.0</v>
      </c>
      <c r="B107" s="11">
        <v>2.1000000199E10</v>
      </c>
      <c r="C107" s="12" t="s">
        <v>528</v>
      </c>
      <c r="D107" s="13" t="s">
        <v>529</v>
      </c>
      <c r="E107" s="11" t="s">
        <v>97</v>
      </c>
      <c r="F107" s="14">
        <v>374023.0</v>
      </c>
      <c r="G107" s="15">
        <f t="shared" si="7"/>
        <v>250</v>
      </c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21">
        <v>250.0</v>
      </c>
      <c r="AI107" s="15"/>
      <c r="AJ107" s="15"/>
      <c r="AK107" s="15"/>
      <c r="AL107" s="17">
        <f t="shared" si="2"/>
        <v>0.6172693333</v>
      </c>
      <c r="AM107" s="17">
        <f t="shared" si="3"/>
        <v>1.146357333</v>
      </c>
      <c r="AN107" s="11" t="s">
        <v>55</v>
      </c>
      <c r="AO107" s="11" t="s">
        <v>1</v>
      </c>
      <c r="AP107" s="11" t="s">
        <v>56</v>
      </c>
      <c r="AQ107" s="23">
        <f>243.75/250</f>
        <v>0.975</v>
      </c>
      <c r="AR107" s="22" t="s">
        <v>530</v>
      </c>
      <c r="AS107" s="34">
        <v>44607.0</v>
      </c>
      <c r="AT107" s="23">
        <f>87.39/100</f>
        <v>0.8739</v>
      </c>
      <c r="AU107" s="19" t="s">
        <v>531</v>
      </c>
      <c r="AV107" s="34">
        <v>44607.0</v>
      </c>
      <c r="AW107" s="23">
        <f>398.27/500</f>
        <v>0.79654</v>
      </c>
      <c r="AX107" s="19" t="s">
        <v>532</v>
      </c>
      <c r="AY107" s="34">
        <v>44607.0</v>
      </c>
      <c r="AZ107" s="17">
        <f t="shared" si="8"/>
        <v>0.8818133333</v>
      </c>
    </row>
    <row r="108">
      <c r="A108" s="10">
        <v>107.0</v>
      </c>
      <c r="B108" s="11">
        <v>2.10000002E10</v>
      </c>
      <c r="C108" s="12" t="s">
        <v>533</v>
      </c>
      <c r="D108" s="13" t="s">
        <v>534</v>
      </c>
      <c r="E108" s="11" t="s">
        <v>97</v>
      </c>
      <c r="F108" s="14">
        <v>353071.0</v>
      </c>
      <c r="G108" s="15">
        <f t="shared" si="7"/>
        <v>2250</v>
      </c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1">
        <v>2000.0</v>
      </c>
      <c r="AB108" s="15"/>
      <c r="AC108" s="15"/>
      <c r="AD108" s="15"/>
      <c r="AE108" s="15"/>
      <c r="AF108" s="15"/>
      <c r="AG108" s="15"/>
      <c r="AH108" s="21">
        <v>250.0</v>
      </c>
      <c r="AI108" s="15"/>
      <c r="AJ108" s="15"/>
      <c r="AK108" s="11" t="s">
        <v>63</v>
      </c>
      <c r="AL108" s="17">
        <f t="shared" si="2"/>
        <v>0.7969313333</v>
      </c>
      <c r="AM108" s="17">
        <f t="shared" si="3"/>
        <v>1.480015333</v>
      </c>
      <c r="AN108" s="11" t="s">
        <v>55</v>
      </c>
      <c r="AO108" s="11" t="s">
        <v>1</v>
      </c>
      <c r="AP108" s="11" t="s">
        <v>56</v>
      </c>
      <c r="AQ108" s="23">
        <f>118.3/100</f>
        <v>1.183</v>
      </c>
      <c r="AR108" s="22" t="s">
        <v>535</v>
      </c>
      <c r="AS108" s="34">
        <v>44607.0</v>
      </c>
      <c r="AT108" s="23">
        <f>531.41/500</f>
        <v>1.06282</v>
      </c>
      <c r="AU108" s="19" t="s">
        <v>535</v>
      </c>
      <c r="AV108" s="34">
        <v>44607.0</v>
      </c>
      <c r="AW108" s="23">
        <f>116.96/100</f>
        <v>1.1696</v>
      </c>
      <c r="AX108" s="19" t="s">
        <v>536</v>
      </c>
      <c r="AY108" s="34">
        <v>44607.0</v>
      </c>
      <c r="AZ108" s="17">
        <f t="shared" si="8"/>
        <v>1.138473333</v>
      </c>
    </row>
    <row r="109">
      <c r="A109" s="10">
        <v>108.0</v>
      </c>
      <c r="B109" s="11">
        <v>2.1000000499E10</v>
      </c>
      <c r="C109" s="12" t="s">
        <v>537</v>
      </c>
      <c r="D109" s="13" t="s">
        <v>538</v>
      </c>
      <c r="E109" s="11" t="s">
        <v>389</v>
      </c>
      <c r="F109" s="14">
        <v>368632.0</v>
      </c>
      <c r="G109" s="15">
        <f t="shared" si="7"/>
        <v>2</v>
      </c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21">
        <v>2.0</v>
      </c>
      <c r="AC109" s="15"/>
      <c r="AD109" s="15"/>
      <c r="AE109" s="15"/>
      <c r="AF109" s="15"/>
      <c r="AG109" s="15"/>
      <c r="AH109" s="15"/>
      <c r="AI109" s="15"/>
      <c r="AJ109" s="15"/>
      <c r="AK109" s="15"/>
      <c r="AL109" s="17" t="str">
        <f t="shared" si="2"/>
        <v>#DIV/0!</v>
      </c>
      <c r="AM109" s="17" t="str">
        <f t="shared" si="3"/>
        <v>#DIV/0!</v>
      </c>
      <c r="AN109" s="11" t="s">
        <v>55</v>
      </c>
      <c r="AO109" s="11" t="s">
        <v>1</v>
      </c>
      <c r="AP109" s="11" t="s">
        <v>56</v>
      </c>
      <c r="AQ109" s="23"/>
      <c r="AR109" s="24"/>
      <c r="AS109" s="15"/>
      <c r="AT109" s="23"/>
      <c r="AU109" s="24"/>
      <c r="AV109" s="15"/>
      <c r="AW109" s="23"/>
      <c r="AX109" s="24"/>
      <c r="AY109" s="15"/>
      <c r="AZ109" s="17" t="str">
        <f t="shared" si="8"/>
        <v>#DIV/0!</v>
      </c>
    </row>
    <row r="110">
      <c r="A110" s="10">
        <v>109.0</v>
      </c>
      <c r="B110" s="11">
        <v>2.100000029E10</v>
      </c>
      <c r="C110" s="12" t="s">
        <v>539</v>
      </c>
      <c r="D110" s="13" t="s">
        <v>540</v>
      </c>
      <c r="E110" s="11" t="s">
        <v>97</v>
      </c>
      <c r="F110" s="27">
        <v>351911.0</v>
      </c>
      <c r="G110" s="15">
        <f t="shared" si="7"/>
        <v>19500</v>
      </c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1">
        <v>12000.0</v>
      </c>
      <c r="AJ110" s="16">
        <v>7500.0</v>
      </c>
      <c r="AK110" s="11" t="s">
        <v>63</v>
      </c>
      <c r="AL110" s="17">
        <f t="shared" si="2"/>
        <v>0.1175113333</v>
      </c>
      <c r="AM110" s="17">
        <f t="shared" si="3"/>
        <v>0.2182353333</v>
      </c>
      <c r="AN110" s="11" t="s">
        <v>55</v>
      </c>
      <c r="AO110" s="11" t="s">
        <v>1</v>
      </c>
      <c r="AP110" s="11" t="s">
        <v>56</v>
      </c>
      <c r="AQ110" s="23">
        <f>95.78/500</f>
        <v>0.19156</v>
      </c>
      <c r="AR110" s="19" t="s">
        <v>541</v>
      </c>
      <c r="AS110" s="34">
        <v>44607.0</v>
      </c>
      <c r="AT110" s="23">
        <f>79.43/500</f>
        <v>0.15886</v>
      </c>
      <c r="AU110" s="19" t="s">
        <v>542</v>
      </c>
      <c r="AV110" s="34">
        <v>44607.0</v>
      </c>
      <c r="AW110" s="23">
        <f>76.6/500</f>
        <v>0.1532</v>
      </c>
      <c r="AX110" s="19" t="s">
        <v>543</v>
      </c>
      <c r="AY110" s="34">
        <v>44607.0</v>
      </c>
      <c r="AZ110" s="17">
        <f t="shared" si="8"/>
        <v>0.1678733333</v>
      </c>
    </row>
    <row r="111">
      <c r="A111" s="10">
        <v>110.0</v>
      </c>
      <c r="B111" s="11">
        <v>2.1000000135E10</v>
      </c>
      <c r="C111" s="12" t="s">
        <v>544</v>
      </c>
      <c r="D111" s="13" t="s">
        <v>545</v>
      </c>
      <c r="E111" s="11" t="s">
        <v>140</v>
      </c>
      <c r="F111" s="14">
        <v>327212.0</v>
      </c>
      <c r="G111" s="15">
        <f t="shared" si="7"/>
        <v>2</v>
      </c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21">
        <v>1.0</v>
      </c>
      <c r="AB111" s="15"/>
      <c r="AC111" s="15"/>
      <c r="AD111" s="15"/>
      <c r="AE111" s="15"/>
      <c r="AF111" s="15"/>
      <c r="AG111" s="15"/>
      <c r="AH111" s="11">
        <v>1.0</v>
      </c>
      <c r="AI111" s="15"/>
      <c r="AJ111" s="15"/>
      <c r="AK111" s="15"/>
      <c r="AL111" s="17">
        <f t="shared" si="2"/>
        <v>55.93466667</v>
      </c>
      <c r="AM111" s="17">
        <f t="shared" si="3"/>
        <v>103.8786667</v>
      </c>
      <c r="AN111" s="11" t="s">
        <v>55</v>
      </c>
      <c r="AO111" s="11" t="s">
        <v>1</v>
      </c>
      <c r="AP111" s="11" t="s">
        <v>56</v>
      </c>
      <c r="AQ111" s="18">
        <v>71.5</v>
      </c>
      <c r="AR111" s="19" t="s">
        <v>546</v>
      </c>
      <c r="AS111" s="34">
        <v>44607.0</v>
      </c>
      <c r="AT111" s="18">
        <v>97.32</v>
      </c>
      <c r="AU111" s="22" t="s">
        <v>547</v>
      </c>
      <c r="AV111" s="34">
        <v>44607.0</v>
      </c>
      <c r="AW111" s="23">
        <f>141.8/2</f>
        <v>70.9</v>
      </c>
      <c r="AX111" s="19" t="s">
        <v>548</v>
      </c>
      <c r="AY111" s="34">
        <v>44607.0</v>
      </c>
      <c r="AZ111" s="17">
        <f t="shared" si="8"/>
        <v>79.90666667</v>
      </c>
    </row>
    <row r="112">
      <c r="A112" s="10">
        <v>111.0</v>
      </c>
      <c r="B112" s="11">
        <v>2.1000000501E10</v>
      </c>
      <c r="C112" s="12" t="s">
        <v>549</v>
      </c>
      <c r="D112" s="13" t="s">
        <v>550</v>
      </c>
      <c r="E112" s="11" t="s">
        <v>140</v>
      </c>
      <c r="F112" s="14">
        <v>388554.0</v>
      </c>
      <c r="G112" s="15">
        <f t="shared" si="7"/>
        <v>1</v>
      </c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21"/>
      <c r="AG112" s="21">
        <v>1.0</v>
      </c>
      <c r="AH112" s="15"/>
      <c r="AI112" s="15"/>
      <c r="AJ112" s="15"/>
      <c r="AK112" s="15"/>
      <c r="AL112" s="17" t="str">
        <f t="shared" si="2"/>
        <v>#DIV/0!</v>
      </c>
      <c r="AM112" s="17" t="str">
        <f t="shared" si="3"/>
        <v>#DIV/0!</v>
      </c>
      <c r="AN112" s="11" t="s">
        <v>55</v>
      </c>
      <c r="AO112" s="11" t="s">
        <v>1</v>
      </c>
      <c r="AP112" s="11" t="s">
        <v>56</v>
      </c>
      <c r="AQ112" s="23"/>
      <c r="AR112" s="24"/>
      <c r="AS112" s="15"/>
      <c r="AT112" s="23"/>
      <c r="AU112" s="24"/>
      <c r="AV112" s="15"/>
      <c r="AW112" s="23"/>
      <c r="AX112" s="24"/>
      <c r="AY112" s="15"/>
      <c r="AZ112" s="17" t="str">
        <f t="shared" si="8"/>
        <v>#DIV/0!</v>
      </c>
    </row>
    <row r="113">
      <c r="A113" s="10">
        <v>112.0</v>
      </c>
      <c r="B113" s="11">
        <v>2.1000000204E10</v>
      </c>
      <c r="C113" s="12" t="s">
        <v>551</v>
      </c>
      <c r="D113" s="13" t="s">
        <v>552</v>
      </c>
      <c r="E113" s="11" t="s">
        <v>97</v>
      </c>
      <c r="F113" s="14">
        <v>403993.0</v>
      </c>
      <c r="G113" s="15">
        <f t="shared" si="7"/>
        <v>300</v>
      </c>
      <c r="H113" s="15"/>
      <c r="I113" s="15"/>
      <c r="J113" s="15"/>
      <c r="K113" s="15"/>
      <c r="L113" s="15"/>
      <c r="M113" s="15"/>
      <c r="N113" s="15"/>
      <c r="O113" s="15"/>
      <c r="P113" s="15"/>
      <c r="Q113" s="16">
        <v>200.0</v>
      </c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1">
        <v>100.0</v>
      </c>
      <c r="AF113" s="15"/>
      <c r="AG113" s="15"/>
      <c r="AH113" s="15"/>
      <c r="AI113" s="15"/>
      <c r="AJ113" s="15"/>
      <c r="AK113" s="15"/>
      <c r="AL113" s="17">
        <f t="shared" si="2"/>
        <v>0.59619</v>
      </c>
      <c r="AM113" s="17">
        <f t="shared" si="3"/>
        <v>1.10721</v>
      </c>
      <c r="AN113" s="11" t="s">
        <v>55</v>
      </c>
      <c r="AO113" s="11" t="s">
        <v>1</v>
      </c>
      <c r="AP113" s="11" t="s">
        <v>56</v>
      </c>
      <c r="AQ113" s="23">
        <f>73.07 /100</f>
        <v>0.7307</v>
      </c>
      <c r="AR113" s="19" t="s">
        <v>553</v>
      </c>
      <c r="AS113" s="34">
        <v>44607.0</v>
      </c>
      <c r="AT113" s="23">
        <f>99.76/100</f>
        <v>0.9976</v>
      </c>
      <c r="AU113" s="22" t="s">
        <v>554</v>
      </c>
      <c r="AV113" s="34">
        <v>44607.0</v>
      </c>
      <c r="AW113" s="23">
        <f>82.68/100</f>
        <v>0.8268</v>
      </c>
      <c r="AX113" s="19" t="s">
        <v>555</v>
      </c>
      <c r="AY113" s="34">
        <v>44607.0</v>
      </c>
      <c r="AZ113" s="17">
        <f t="shared" si="8"/>
        <v>0.8517</v>
      </c>
    </row>
    <row r="114">
      <c r="A114" s="10">
        <v>113.0</v>
      </c>
      <c r="B114" s="11">
        <v>2.1000000154E10</v>
      </c>
      <c r="C114" s="12" t="s">
        <v>556</v>
      </c>
      <c r="D114" s="13" t="s">
        <v>557</v>
      </c>
      <c r="E114" s="11" t="s">
        <v>54</v>
      </c>
      <c r="F114" s="14">
        <v>347885.0</v>
      </c>
      <c r="G114" s="15">
        <f t="shared" si="7"/>
        <v>1000</v>
      </c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>
        <v>1000.0</v>
      </c>
      <c r="AD114" s="15"/>
      <c r="AE114" s="15"/>
      <c r="AF114" s="15"/>
      <c r="AG114" s="15"/>
      <c r="AH114" s="15"/>
      <c r="AI114" s="15"/>
      <c r="AJ114" s="15"/>
      <c r="AK114" s="11" t="s">
        <v>63</v>
      </c>
      <c r="AL114" s="17">
        <f t="shared" si="2"/>
        <v>0.05102066667</v>
      </c>
      <c r="AM114" s="17">
        <f t="shared" si="3"/>
        <v>0.09475266667</v>
      </c>
      <c r="AN114" s="11" t="s">
        <v>55</v>
      </c>
      <c r="AO114" s="11" t="s">
        <v>1</v>
      </c>
      <c r="AP114" s="11" t="s">
        <v>56</v>
      </c>
      <c r="AQ114" s="23">
        <f>37.5/500</f>
        <v>0.075</v>
      </c>
      <c r="AR114" s="19" t="s">
        <v>558</v>
      </c>
      <c r="AS114" s="34">
        <v>44607.0</v>
      </c>
      <c r="AT114" s="23">
        <f>36.12/500</f>
        <v>0.07224</v>
      </c>
      <c r="AU114" s="19" t="s">
        <v>559</v>
      </c>
      <c r="AV114" s="34">
        <v>44607.0</v>
      </c>
      <c r="AW114" s="23">
        <f>35.71/500</f>
        <v>0.07142</v>
      </c>
      <c r="AX114" s="19" t="s">
        <v>560</v>
      </c>
      <c r="AY114" s="34">
        <v>44607.0</v>
      </c>
      <c r="AZ114" s="17">
        <f t="shared" si="8"/>
        <v>0.07288666667</v>
      </c>
    </row>
    <row r="115">
      <c r="A115" s="10">
        <v>114.0</v>
      </c>
      <c r="B115" s="11">
        <v>2.1000000165E10</v>
      </c>
      <c r="C115" s="49" t="s">
        <v>561</v>
      </c>
      <c r="D115" s="13" t="s">
        <v>562</v>
      </c>
      <c r="E115" s="11" t="s">
        <v>97</v>
      </c>
      <c r="F115" s="14">
        <v>359002.0</v>
      </c>
      <c r="G115" s="15">
        <f t="shared" si="7"/>
        <v>250</v>
      </c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21">
        <v>250.0</v>
      </c>
      <c r="AI115" s="15"/>
      <c r="AJ115" s="15"/>
      <c r="AK115" s="11" t="s">
        <v>63</v>
      </c>
      <c r="AL115" s="17">
        <f t="shared" si="2"/>
        <v>0.1098486667</v>
      </c>
      <c r="AM115" s="17">
        <f t="shared" si="3"/>
        <v>0.2040046667</v>
      </c>
      <c r="AN115" s="11" t="s">
        <v>55</v>
      </c>
      <c r="AO115" s="11" t="s">
        <v>1</v>
      </c>
      <c r="AP115" s="11" t="s">
        <v>56</v>
      </c>
      <c r="AQ115" s="23">
        <f>37.7 /250</f>
        <v>0.1508</v>
      </c>
      <c r="AR115" s="19" t="s">
        <v>563</v>
      </c>
      <c r="AS115" s="34">
        <v>44607.0</v>
      </c>
      <c r="AT115" s="23">
        <f>34.95/250</f>
        <v>0.1398</v>
      </c>
      <c r="AU115" s="22" t="s">
        <v>564</v>
      </c>
      <c r="AV115" s="34">
        <v>44607.0</v>
      </c>
      <c r="AW115" s="23">
        <f>90.09/500</f>
        <v>0.18018</v>
      </c>
      <c r="AX115" s="19" t="s">
        <v>565</v>
      </c>
      <c r="AY115" s="34">
        <v>44607.0</v>
      </c>
      <c r="AZ115" s="17">
        <f t="shared" si="8"/>
        <v>0.1569266667</v>
      </c>
    </row>
    <row r="116">
      <c r="A116" s="10">
        <v>115.0</v>
      </c>
      <c r="B116" s="11">
        <v>2.1000000169E10</v>
      </c>
      <c r="C116" s="49" t="s">
        <v>566</v>
      </c>
      <c r="D116" s="13" t="s">
        <v>567</v>
      </c>
      <c r="E116" s="11" t="s">
        <v>97</v>
      </c>
      <c r="F116" s="14">
        <v>357897.0</v>
      </c>
      <c r="G116" s="15">
        <f t="shared" si="7"/>
        <v>500</v>
      </c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21">
        <v>500.0</v>
      </c>
      <c r="AB116" s="15"/>
      <c r="AC116" s="15"/>
      <c r="AD116" s="15"/>
      <c r="AE116" s="15"/>
      <c r="AF116" s="15"/>
      <c r="AG116" s="15"/>
      <c r="AH116" s="15"/>
      <c r="AI116" s="15"/>
      <c r="AJ116" s="15"/>
      <c r="AK116" s="11" t="s">
        <v>63</v>
      </c>
      <c r="AL116" s="17">
        <f t="shared" si="2"/>
        <v>0.072205</v>
      </c>
      <c r="AM116" s="17">
        <f t="shared" si="3"/>
        <v>0.134095</v>
      </c>
      <c r="AN116" s="11" t="s">
        <v>55</v>
      </c>
      <c r="AO116" s="11" t="s">
        <v>1</v>
      </c>
      <c r="AP116" s="11" t="s">
        <v>56</v>
      </c>
      <c r="AQ116" s="23">
        <f>103.15/1000 </f>
        <v>0.10315</v>
      </c>
      <c r="AR116" s="19" t="s">
        <v>568</v>
      </c>
      <c r="AS116" s="34">
        <v>44607.0</v>
      </c>
      <c r="AT116" s="23"/>
      <c r="AU116" s="30"/>
      <c r="AV116" s="15"/>
      <c r="AW116" s="23"/>
      <c r="AX116" s="24"/>
      <c r="AY116" s="15"/>
      <c r="AZ116" s="17">
        <f t="shared" si="8"/>
        <v>0.10315</v>
      </c>
    </row>
    <row r="117">
      <c r="A117" s="10">
        <v>116.0</v>
      </c>
      <c r="B117" s="11">
        <v>2.1000000173E10</v>
      </c>
      <c r="C117" s="12" t="s">
        <v>569</v>
      </c>
      <c r="D117" s="13" t="s">
        <v>570</v>
      </c>
      <c r="E117" s="11" t="s">
        <v>97</v>
      </c>
      <c r="F117" s="14">
        <v>412728.0</v>
      </c>
      <c r="G117" s="15">
        <f t="shared" si="7"/>
        <v>150</v>
      </c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1">
        <v>100.0</v>
      </c>
      <c r="AA117" s="16">
        <v>50.0</v>
      </c>
      <c r="AB117" s="15"/>
      <c r="AC117" s="15"/>
      <c r="AD117" s="15"/>
      <c r="AE117" s="15"/>
      <c r="AF117" s="15"/>
      <c r="AG117" s="15"/>
      <c r="AH117" s="15"/>
      <c r="AI117" s="15"/>
      <c r="AJ117" s="15"/>
      <c r="AK117" s="11" t="s">
        <v>63</v>
      </c>
      <c r="AL117" s="17">
        <f t="shared" si="2"/>
        <v>9.740173333</v>
      </c>
      <c r="AM117" s="17">
        <f t="shared" si="3"/>
        <v>18.08889333</v>
      </c>
      <c r="AN117" s="11" t="s">
        <v>55</v>
      </c>
      <c r="AO117" s="11" t="s">
        <v>1</v>
      </c>
      <c r="AP117" s="11" t="s">
        <v>56</v>
      </c>
      <c r="AQ117" s="23">
        <f>298.58/25</f>
        <v>11.9432</v>
      </c>
      <c r="AR117" s="22" t="s">
        <v>571</v>
      </c>
      <c r="AS117" s="34">
        <v>44607.0</v>
      </c>
      <c r="AT117" s="23">
        <f>341.57/25</f>
        <v>13.6628</v>
      </c>
      <c r="AU117" s="22" t="s">
        <v>572</v>
      </c>
      <c r="AV117" s="34">
        <v>44607.0</v>
      </c>
      <c r="AW117" s="23">
        <f>403.44/25</f>
        <v>16.1376</v>
      </c>
      <c r="AX117" s="19" t="s">
        <v>573</v>
      </c>
      <c r="AY117" s="34">
        <v>44607.0</v>
      </c>
      <c r="AZ117" s="17">
        <f t="shared" si="8"/>
        <v>13.91453333</v>
      </c>
    </row>
    <row r="118">
      <c r="A118" s="10">
        <v>117.0</v>
      </c>
      <c r="B118" s="11">
        <v>2.1000000176E10</v>
      </c>
      <c r="C118" s="12" t="s">
        <v>574</v>
      </c>
      <c r="D118" s="13" t="s">
        <v>575</v>
      </c>
      <c r="E118" s="11" t="s">
        <v>97</v>
      </c>
      <c r="F118" s="14">
        <v>358988.0</v>
      </c>
      <c r="G118" s="15">
        <f t="shared" si="7"/>
        <v>500</v>
      </c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21">
        <v>500.0</v>
      </c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7">
        <f t="shared" si="2"/>
        <v>0.026138</v>
      </c>
      <c r="AM118" s="17">
        <f t="shared" si="3"/>
        <v>0.048542</v>
      </c>
      <c r="AN118" s="11" t="s">
        <v>55</v>
      </c>
      <c r="AO118" s="11" t="s">
        <v>1</v>
      </c>
      <c r="AP118" s="11" t="s">
        <v>56</v>
      </c>
      <c r="AQ118" s="23">
        <f>16.18 /500</f>
        <v>0.03236</v>
      </c>
      <c r="AR118" s="22" t="s">
        <v>576</v>
      </c>
      <c r="AS118" s="34">
        <v>44607.0</v>
      </c>
      <c r="AT118" s="23">
        <f>20.79/500</f>
        <v>0.04158</v>
      </c>
      <c r="AU118" s="22" t="s">
        <v>577</v>
      </c>
      <c r="AV118" s="34">
        <v>44607.0</v>
      </c>
      <c r="AW118" s="23">
        <f>19.04/500</f>
        <v>0.03808</v>
      </c>
      <c r="AX118" s="22" t="s">
        <v>578</v>
      </c>
      <c r="AY118" s="34">
        <v>44607.0</v>
      </c>
      <c r="AZ118" s="17">
        <f t="shared" si="8"/>
        <v>0.03734</v>
      </c>
    </row>
    <row r="119">
      <c r="A119" s="10">
        <v>118.0</v>
      </c>
      <c r="B119" s="11">
        <v>2.1000000179E10</v>
      </c>
      <c r="C119" s="12" t="s">
        <v>579</v>
      </c>
      <c r="D119" s="13" t="s">
        <v>580</v>
      </c>
      <c r="E119" s="11" t="s">
        <v>97</v>
      </c>
      <c r="F119" s="14">
        <v>420021.0</v>
      </c>
      <c r="G119" s="15">
        <f t="shared" si="7"/>
        <v>1000</v>
      </c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21">
        <v>500.0</v>
      </c>
      <c r="AB119" s="15"/>
      <c r="AC119" s="15"/>
      <c r="AD119" s="15"/>
      <c r="AE119" s="15"/>
      <c r="AF119" s="15"/>
      <c r="AG119" s="15"/>
      <c r="AH119" s="11">
        <v>500.0</v>
      </c>
      <c r="AI119" s="15"/>
      <c r="AJ119" s="15"/>
      <c r="AK119" s="11" t="s">
        <v>63</v>
      </c>
      <c r="AL119" s="17">
        <f t="shared" si="2"/>
        <v>0.08221733333</v>
      </c>
      <c r="AM119" s="17">
        <f t="shared" si="3"/>
        <v>0.1526893333</v>
      </c>
      <c r="AN119" s="11" t="s">
        <v>55</v>
      </c>
      <c r="AO119" s="11" t="s">
        <v>1</v>
      </c>
      <c r="AP119" s="11" t="s">
        <v>56</v>
      </c>
      <c r="AQ119" s="18">
        <f>46.88/500</f>
        <v>0.09376</v>
      </c>
      <c r="AR119" s="19" t="s">
        <v>581</v>
      </c>
      <c r="AS119" s="34">
        <v>44607.0</v>
      </c>
      <c r="AT119" s="23">
        <f>62.96/500</f>
        <v>0.12592</v>
      </c>
      <c r="AU119" s="22" t="s">
        <v>582</v>
      </c>
      <c r="AV119" s="34">
        <v>44607.0</v>
      </c>
      <c r="AW119" s="23">
        <f>66.34/500</f>
        <v>0.13268</v>
      </c>
      <c r="AX119" s="48" t="s">
        <v>583</v>
      </c>
      <c r="AY119" s="34">
        <v>44607.0</v>
      </c>
      <c r="AZ119" s="17">
        <f t="shared" si="8"/>
        <v>0.1174533333</v>
      </c>
    </row>
    <row r="120">
      <c r="A120" s="10">
        <v>119.0</v>
      </c>
      <c r="B120" s="11">
        <v>2.1000000246E10</v>
      </c>
      <c r="C120" s="12" t="s">
        <v>584</v>
      </c>
      <c r="D120" s="13" t="s">
        <v>585</v>
      </c>
      <c r="E120" s="11" t="s">
        <v>140</v>
      </c>
      <c r="F120" s="14">
        <v>334384.0</v>
      </c>
      <c r="G120" s="15">
        <f t="shared" si="7"/>
        <v>16</v>
      </c>
      <c r="H120" s="15"/>
      <c r="I120" s="15"/>
      <c r="J120" s="15"/>
      <c r="K120" s="15"/>
      <c r="L120" s="21">
        <v>2.0</v>
      </c>
      <c r="M120" s="15"/>
      <c r="N120" s="15"/>
      <c r="O120" s="15"/>
      <c r="P120" s="15"/>
      <c r="Q120" s="15"/>
      <c r="R120" s="15"/>
      <c r="S120" s="11">
        <v>10.0</v>
      </c>
      <c r="T120" s="15"/>
      <c r="U120" s="15"/>
      <c r="V120" s="15"/>
      <c r="W120" s="11">
        <v>4.0</v>
      </c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1" t="s">
        <v>63</v>
      </c>
      <c r="AL120" s="17">
        <f t="shared" si="2"/>
        <v>17.89433333</v>
      </c>
      <c r="AM120" s="17">
        <f t="shared" si="3"/>
        <v>33.23233333</v>
      </c>
      <c r="AN120" s="11" t="s">
        <v>55</v>
      </c>
      <c r="AO120" s="11" t="s">
        <v>1</v>
      </c>
      <c r="AP120" s="11" t="s">
        <v>56</v>
      </c>
      <c r="AQ120" s="18">
        <v>20.66</v>
      </c>
      <c r="AR120" s="19" t="s">
        <v>586</v>
      </c>
      <c r="AS120" s="34">
        <v>44607.0</v>
      </c>
      <c r="AT120" s="18">
        <v>22.7</v>
      </c>
      <c r="AU120" s="19" t="s">
        <v>587</v>
      </c>
      <c r="AV120" s="34">
        <v>44607.0</v>
      </c>
      <c r="AW120" s="18">
        <v>33.33</v>
      </c>
      <c r="AX120" s="22" t="s">
        <v>588</v>
      </c>
      <c r="AY120" s="34">
        <v>44607.0</v>
      </c>
      <c r="AZ120" s="17">
        <f t="shared" si="8"/>
        <v>25.56333333</v>
      </c>
    </row>
    <row r="121">
      <c r="A121" s="10">
        <v>120.0</v>
      </c>
      <c r="B121" s="11">
        <v>2.1000000502E10</v>
      </c>
      <c r="C121" s="12" t="s">
        <v>589</v>
      </c>
      <c r="D121" s="13" t="s">
        <v>590</v>
      </c>
      <c r="E121" s="11" t="s">
        <v>140</v>
      </c>
      <c r="F121" s="14">
        <v>370331.0</v>
      </c>
      <c r="G121" s="15">
        <f t="shared" si="7"/>
        <v>3</v>
      </c>
      <c r="H121" s="15"/>
      <c r="I121" s="15"/>
      <c r="J121" s="15"/>
      <c r="K121" s="15"/>
      <c r="L121" s="16">
        <v>3.0</v>
      </c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7">
        <f t="shared" si="2"/>
        <v>363.3396667</v>
      </c>
      <c r="AM121" s="17">
        <f t="shared" si="3"/>
        <v>674.7736667</v>
      </c>
      <c r="AN121" s="11" t="s">
        <v>55</v>
      </c>
      <c r="AO121" s="11" t="s">
        <v>1</v>
      </c>
      <c r="AP121" s="11" t="s">
        <v>56</v>
      </c>
      <c r="AQ121" s="18">
        <v>463.94</v>
      </c>
      <c r="AR121" s="19" t="s">
        <v>591</v>
      </c>
      <c r="AS121" s="34">
        <v>44607.0</v>
      </c>
      <c r="AT121" s="18">
        <v>530.73</v>
      </c>
      <c r="AU121" s="19" t="s">
        <v>592</v>
      </c>
      <c r="AV121" s="34">
        <v>44607.0</v>
      </c>
      <c r="AW121" s="18">
        <v>562.5</v>
      </c>
      <c r="AX121" s="19" t="s">
        <v>593</v>
      </c>
      <c r="AY121" s="34">
        <v>44607.0</v>
      </c>
      <c r="AZ121" s="17">
        <f t="shared" si="8"/>
        <v>519.0566667</v>
      </c>
    </row>
    <row r="122">
      <c r="A122" s="10">
        <v>121.0</v>
      </c>
      <c r="B122" s="11">
        <v>2.1000000251E10</v>
      </c>
      <c r="C122" s="12" t="s">
        <v>594</v>
      </c>
      <c r="D122" s="13" t="s">
        <v>595</v>
      </c>
      <c r="E122" s="11" t="s">
        <v>97</v>
      </c>
      <c r="F122" s="14">
        <v>400844.0</v>
      </c>
      <c r="G122" s="15">
        <f t="shared" si="7"/>
        <v>2000</v>
      </c>
      <c r="H122" s="15"/>
      <c r="I122" s="15"/>
      <c r="J122" s="15"/>
      <c r="K122" s="15"/>
      <c r="L122" s="15"/>
      <c r="M122" s="15"/>
      <c r="N122" s="15"/>
      <c r="O122" s="15"/>
      <c r="P122" s="15"/>
      <c r="Q122" s="11">
        <v>1000.0</v>
      </c>
      <c r="R122" s="15"/>
      <c r="S122" s="15"/>
      <c r="T122" s="15"/>
      <c r="U122" s="15"/>
      <c r="V122" s="15"/>
      <c r="W122" s="15"/>
      <c r="X122" s="15"/>
      <c r="Y122" s="15"/>
      <c r="Z122" s="15"/>
      <c r="AA122" s="21">
        <v>500.0</v>
      </c>
      <c r="AB122" s="15"/>
      <c r="AC122" s="15"/>
      <c r="AD122" s="15"/>
      <c r="AE122" s="15"/>
      <c r="AF122" s="15"/>
      <c r="AG122" s="15"/>
      <c r="AH122" s="11">
        <v>500.0</v>
      </c>
      <c r="AI122" s="15"/>
      <c r="AJ122" s="15"/>
      <c r="AK122" s="15"/>
      <c r="AL122" s="17">
        <f t="shared" si="2"/>
        <v>0.06245866667</v>
      </c>
      <c r="AM122" s="17">
        <f t="shared" si="3"/>
        <v>0.1159946667</v>
      </c>
      <c r="AN122" s="11" t="s">
        <v>55</v>
      </c>
      <c r="AO122" s="11" t="s">
        <v>1</v>
      </c>
      <c r="AP122" s="11" t="s">
        <v>56</v>
      </c>
      <c r="AQ122" s="23">
        <f>41.28/500</f>
        <v>0.08256</v>
      </c>
      <c r="AR122" s="19" t="s">
        <v>596</v>
      </c>
      <c r="AS122" s="34">
        <v>44607.0</v>
      </c>
      <c r="AT122" s="23">
        <f>49.39/500</f>
        <v>0.09878</v>
      </c>
      <c r="AU122" s="19" t="s">
        <v>597</v>
      </c>
      <c r="AV122" s="34">
        <v>44607.0</v>
      </c>
      <c r="AW122" s="23">
        <f>43.17 /500</f>
        <v>0.08634</v>
      </c>
      <c r="AX122" s="19" t="s">
        <v>598</v>
      </c>
      <c r="AY122" s="34">
        <v>44607.0</v>
      </c>
      <c r="AZ122" s="17">
        <f t="shared" si="8"/>
        <v>0.08922666667</v>
      </c>
    </row>
    <row r="123">
      <c r="A123" s="10">
        <v>122.0</v>
      </c>
      <c r="B123" s="11">
        <v>2.1000000346E10</v>
      </c>
      <c r="C123" s="12" t="s">
        <v>599</v>
      </c>
      <c r="D123" s="13" t="s">
        <v>600</v>
      </c>
      <c r="E123" s="11" t="s">
        <v>97</v>
      </c>
      <c r="F123" s="27">
        <v>412804.0</v>
      </c>
      <c r="G123" s="15">
        <f t="shared" si="7"/>
        <v>500</v>
      </c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6">
        <v>500.0</v>
      </c>
      <c r="AB123" s="15"/>
      <c r="AC123" s="15"/>
      <c r="AD123" s="15"/>
      <c r="AE123" s="15"/>
      <c r="AF123" s="15"/>
      <c r="AG123" s="15"/>
      <c r="AH123" s="15"/>
      <c r="AI123" s="15"/>
      <c r="AJ123" s="15"/>
      <c r="AK123" s="11" t="s">
        <v>63</v>
      </c>
      <c r="AL123" s="17">
        <f t="shared" si="2"/>
        <v>0.08733666667</v>
      </c>
      <c r="AM123" s="17">
        <f t="shared" si="3"/>
        <v>0.1621966667</v>
      </c>
      <c r="AN123" s="11" t="s">
        <v>55</v>
      </c>
      <c r="AO123" s="11" t="s">
        <v>1</v>
      </c>
      <c r="AP123" s="11" t="s">
        <v>56</v>
      </c>
      <c r="AQ123" s="23">
        <f>75/500</f>
        <v>0.15</v>
      </c>
      <c r="AR123" s="22" t="s">
        <v>601</v>
      </c>
      <c r="AS123" s="34">
        <v>44607.0</v>
      </c>
      <c r="AT123" s="18">
        <f>53.38/500</f>
        <v>0.10676</v>
      </c>
      <c r="AU123" s="22" t="s">
        <v>602</v>
      </c>
      <c r="AV123" s="34">
        <v>44607.0</v>
      </c>
      <c r="AW123" s="23">
        <f>58.77 /500</f>
        <v>0.11754</v>
      </c>
      <c r="AX123" s="19" t="s">
        <v>602</v>
      </c>
      <c r="AY123" s="34">
        <v>44607.0</v>
      </c>
      <c r="AZ123" s="17">
        <f t="shared" si="8"/>
        <v>0.1247666667</v>
      </c>
    </row>
    <row r="124">
      <c r="A124" s="10">
        <v>123.0</v>
      </c>
      <c r="B124" s="11">
        <v>2.1000000253E10</v>
      </c>
      <c r="C124" s="28" t="s">
        <v>603</v>
      </c>
      <c r="D124" s="13" t="s">
        <v>604</v>
      </c>
      <c r="E124" s="11" t="s">
        <v>97</v>
      </c>
      <c r="F124" s="14">
        <v>348679.0</v>
      </c>
      <c r="G124" s="15">
        <f t="shared" si="7"/>
        <v>500</v>
      </c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6">
        <v>500.0</v>
      </c>
      <c r="AB124" s="15"/>
      <c r="AC124" s="15"/>
      <c r="AD124" s="15"/>
      <c r="AE124" s="15"/>
      <c r="AF124" s="15"/>
      <c r="AG124" s="15"/>
      <c r="AH124" s="15"/>
      <c r="AI124" s="15"/>
      <c r="AJ124" s="15"/>
      <c r="AK124" s="50"/>
      <c r="AL124" s="17">
        <f t="shared" si="2"/>
        <v>0.022988</v>
      </c>
      <c r="AM124" s="17">
        <f t="shared" si="3"/>
        <v>0.042692</v>
      </c>
      <c r="AN124" s="11" t="s">
        <v>55</v>
      </c>
      <c r="AO124" s="11" t="s">
        <v>1</v>
      </c>
      <c r="AP124" s="11" t="s">
        <v>56</v>
      </c>
      <c r="AQ124" s="23">
        <f>14.68/500</f>
        <v>0.02936</v>
      </c>
      <c r="AR124" s="22" t="s">
        <v>605</v>
      </c>
      <c r="AS124" s="34">
        <v>44607.0</v>
      </c>
      <c r="AT124" s="23">
        <f>18.75/500</f>
        <v>0.0375</v>
      </c>
      <c r="AU124" s="22" t="s">
        <v>606</v>
      </c>
      <c r="AV124" s="34">
        <v>44607.0</v>
      </c>
      <c r="AW124" s="23">
        <f>15.83 /500</f>
        <v>0.03166</v>
      </c>
      <c r="AX124" s="19" t="s">
        <v>607</v>
      </c>
      <c r="AY124" s="34">
        <v>44607.0</v>
      </c>
      <c r="AZ124" s="17">
        <f t="shared" si="8"/>
        <v>0.03284</v>
      </c>
    </row>
    <row r="125">
      <c r="A125" s="10">
        <v>124.0</v>
      </c>
      <c r="B125" s="11">
        <v>2.1000000483E10</v>
      </c>
      <c r="C125" s="49" t="s">
        <v>608</v>
      </c>
      <c r="D125" s="13" t="s">
        <v>609</v>
      </c>
      <c r="E125" s="11" t="s">
        <v>97</v>
      </c>
      <c r="F125" s="14">
        <v>355020.0</v>
      </c>
      <c r="G125" s="15">
        <f t="shared" si="7"/>
        <v>50</v>
      </c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6">
        <v>50.0</v>
      </c>
      <c r="AF125" s="15"/>
      <c r="AG125" s="15"/>
      <c r="AH125" s="15"/>
      <c r="AI125" s="15"/>
      <c r="AJ125" s="15"/>
      <c r="AK125" s="11" t="s">
        <v>63</v>
      </c>
      <c r="AL125" s="17">
        <f t="shared" si="2"/>
        <v>24.08</v>
      </c>
      <c r="AM125" s="17">
        <f t="shared" si="3"/>
        <v>44.72</v>
      </c>
      <c r="AN125" s="11" t="s">
        <v>55</v>
      </c>
      <c r="AO125" s="11" t="s">
        <v>1</v>
      </c>
      <c r="AP125" s="11" t="s">
        <v>56</v>
      </c>
      <c r="AQ125" s="18"/>
      <c r="AR125" s="30"/>
      <c r="AS125" s="34"/>
      <c r="AT125" s="18">
        <f>344/10</f>
        <v>34.4</v>
      </c>
      <c r="AU125" s="33" t="s">
        <v>610</v>
      </c>
      <c r="AV125" s="20">
        <v>44622.0</v>
      </c>
      <c r="AW125" s="23"/>
      <c r="AX125" s="24"/>
      <c r="AY125" s="15"/>
      <c r="AZ125" s="17">
        <f t="shared" si="8"/>
        <v>34.4</v>
      </c>
    </row>
    <row r="126">
      <c r="A126" s="10">
        <v>125.0</v>
      </c>
      <c r="B126" s="11">
        <v>2.1000000457E10</v>
      </c>
      <c r="C126" s="12" t="s">
        <v>611</v>
      </c>
      <c r="D126" s="13" t="s">
        <v>612</v>
      </c>
      <c r="E126" s="11" t="s">
        <v>85</v>
      </c>
      <c r="F126" s="14">
        <v>464232.0</v>
      </c>
      <c r="G126" s="15">
        <f t="shared" si="7"/>
        <v>11</v>
      </c>
      <c r="H126" s="15"/>
      <c r="I126" s="15"/>
      <c r="J126" s="15"/>
      <c r="K126" s="15"/>
      <c r="L126" s="15"/>
      <c r="M126" s="15"/>
      <c r="N126" s="15"/>
      <c r="O126" s="15"/>
      <c r="P126" s="11">
        <v>10.0</v>
      </c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>
        <v>1.0</v>
      </c>
      <c r="AD126" s="15"/>
      <c r="AE126" s="15"/>
      <c r="AF126" s="15"/>
      <c r="AG126" s="15"/>
      <c r="AH126" s="15"/>
      <c r="AI126" s="15"/>
      <c r="AJ126" s="15"/>
      <c r="AK126" s="15"/>
      <c r="AL126" s="17">
        <f t="shared" si="2"/>
        <v>57.6415</v>
      </c>
      <c r="AM126" s="17">
        <f t="shared" si="3"/>
        <v>107.0485</v>
      </c>
      <c r="AN126" s="11" t="s">
        <v>55</v>
      </c>
      <c r="AO126" s="11" t="s">
        <v>1</v>
      </c>
      <c r="AP126" s="11" t="s">
        <v>56</v>
      </c>
      <c r="AQ126" s="18">
        <v>76.92</v>
      </c>
      <c r="AR126" s="19" t="s">
        <v>613</v>
      </c>
      <c r="AS126" s="34">
        <v>44607.0</v>
      </c>
      <c r="AT126" s="23">
        <f>175.54/2</f>
        <v>87.77</v>
      </c>
      <c r="AU126" s="19" t="s">
        <v>614</v>
      </c>
      <c r="AV126" s="34">
        <v>44607.0</v>
      </c>
      <c r="AW126" s="23"/>
      <c r="AX126" s="24"/>
      <c r="AY126" s="15"/>
      <c r="AZ126" s="17">
        <f t="shared" si="8"/>
        <v>82.345</v>
      </c>
    </row>
    <row r="127">
      <c r="A127" s="10">
        <v>126.0</v>
      </c>
      <c r="B127" s="11">
        <v>2.1000000274E10</v>
      </c>
      <c r="C127" s="12" t="s">
        <v>615</v>
      </c>
      <c r="D127" s="13" t="s">
        <v>616</v>
      </c>
      <c r="E127" s="11" t="s">
        <v>85</v>
      </c>
      <c r="F127" s="14">
        <v>380907.0</v>
      </c>
      <c r="G127" s="15">
        <f t="shared" si="7"/>
        <v>1</v>
      </c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21">
        <v>1.0</v>
      </c>
      <c r="AB127" s="15"/>
      <c r="AC127" s="15"/>
      <c r="AD127" s="15"/>
      <c r="AE127" s="15"/>
      <c r="AF127" s="15"/>
      <c r="AG127" s="15"/>
      <c r="AH127" s="15"/>
      <c r="AI127" s="15"/>
      <c r="AJ127" s="15"/>
      <c r="AK127" s="11" t="s">
        <v>63</v>
      </c>
      <c r="AL127" s="17">
        <f t="shared" si="2"/>
        <v>79.6005</v>
      </c>
      <c r="AM127" s="17">
        <f t="shared" si="3"/>
        <v>147.8295</v>
      </c>
      <c r="AN127" s="11" t="s">
        <v>55</v>
      </c>
      <c r="AO127" s="11" t="s">
        <v>1</v>
      </c>
      <c r="AP127" s="11" t="s">
        <v>56</v>
      </c>
      <c r="AQ127" s="18">
        <v>102.43</v>
      </c>
      <c r="AR127" s="19" t="s">
        <v>617</v>
      </c>
      <c r="AS127" s="34">
        <v>44607.0</v>
      </c>
      <c r="AT127" s="18">
        <v>125.0</v>
      </c>
      <c r="AU127" s="32" t="s">
        <v>618</v>
      </c>
      <c r="AV127" s="20">
        <v>44613.0</v>
      </c>
      <c r="AW127" s="23"/>
      <c r="AX127" s="24"/>
      <c r="AY127" s="15"/>
      <c r="AZ127" s="17">
        <f t="shared" si="8"/>
        <v>113.715</v>
      </c>
    </row>
    <row r="128">
      <c r="A128" s="10">
        <v>127.0</v>
      </c>
      <c r="B128" s="11">
        <v>2.1000000275E10</v>
      </c>
      <c r="C128" s="12" t="s">
        <v>619</v>
      </c>
      <c r="D128" s="13" t="s">
        <v>620</v>
      </c>
      <c r="E128" s="11" t="s">
        <v>62</v>
      </c>
      <c r="F128" s="14">
        <v>412697.0</v>
      </c>
      <c r="G128" s="15">
        <f t="shared" si="7"/>
        <v>6</v>
      </c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21">
        <v>6.0</v>
      </c>
      <c r="AI128" s="15"/>
      <c r="AJ128" s="15"/>
      <c r="AK128" s="15"/>
      <c r="AL128" s="17">
        <f t="shared" si="2"/>
        <v>24.07766667</v>
      </c>
      <c r="AM128" s="17">
        <f t="shared" si="3"/>
        <v>44.71566667</v>
      </c>
      <c r="AN128" s="11" t="s">
        <v>55</v>
      </c>
      <c r="AO128" s="11" t="s">
        <v>1</v>
      </c>
      <c r="AP128" s="11" t="s">
        <v>56</v>
      </c>
      <c r="AQ128" s="18">
        <v>22.31</v>
      </c>
      <c r="AR128" s="22" t="s">
        <v>621</v>
      </c>
      <c r="AS128" s="34">
        <v>44607.0</v>
      </c>
      <c r="AT128" s="18">
        <v>43.38</v>
      </c>
      <c r="AU128" s="19" t="s">
        <v>622</v>
      </c>
      <c r="AV128" s="34">
        <v>44607.0</v>
      </c>
      <c r="AW128" s="18">
        <v>37.5</v>
      </c>
      <c r="AX128" s="19" t="s">
        <v>623</v>
      </c>
      <c r="AY128" s="34">
        <v>44607.0</v>
      </c>
      <c r="AZ128" s="17">
        <f t="shared" si="8"/>
        <v>34.39666667</v>
      </c>
    </row>
    <row r="129">
      <c r="A129" s="10">
        <v>128.0</v>
      </c>
      <c r="B129" s="11">
        <v>2.1000000161E10</v>
      </c>
      <c r="C129" s="12" t="s">
        <v>624</v>
      </c>
      <c r="D129" s="13" t="s">
        <v>625</v>
      </c>
      <c r="E129" s="11" t="s">
        <v>97</v>
      </c>
      <c r="F129" s="14">
        <v>354392.0</v>
      </c>
      <c r="G129" s="15">
        <f t="shared" si="7"/>
        <v>75</v>
      </c>
      <c r="H129" s="15"/>
      <c r="I129" s="21"/>
      <c r="J129" s="21">
        <v>25.0</v>
      </c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1">
        <v>50.0</v>
      </c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7">
        <f t="shared" si="2"/>
        <v>0.9425733333</v>
      </c>
      <c r="AM129" s="17">
        <f t="shared" si="3"/>
        <v>1.750493333</v>
      </c>
      <c r="AN129" s="11" t="s">
        <v>55</v>
      </c>
      <c r="AO129" s="11" t="s">
        <v>1</v>
      </c>
      <c r="AP129" s="11" t="s">
        <v>56</v>
      </c>
      <c r="AQ129" s="23">
        <f>37.5/25</f>
        <v>1.5</v>
      </c>
      <c r="AR129" s="22" t="s">
        <v>626</v>
      </c>
      <c r="AS129" s="34">
        <v>44607.0</v>
      </c>
      <c r="AT129" s="23">
        <f>30/25</f>
        <v>1.2</v>
      </c>
      <c r="AU129" s="22" t="s">
        <v>627</v>
      </c>
      <c r="AV129" s="34">
        <v>44607.0</v>
      </c>
      <c r="AW129" s="23">
        <f>33.49/25</f>
        <v>1.3396</v>
      </c>
      <c r="AX129" s="19" t="s">
        <v>628</v>
      </c>
      <c r="AY129" s="34">
        <v>44607.0</v>
      </c>
      <c r="AZ129" s="17">
        <f t="shared" si="8"/>
        <v>1.346533333</v>
      </c>
    </row>
    <row r="130">
      <c r="A130" s="10">
        <v>129.0</v>
      </c>
      <c r="B130" s="11">
        <v>2.1000000472E10</v>
      </c>
      <c r="C130" s="12" t="s">
        <v>629</v>
      </c>
      <c r="D130" s="13" t="s">
        <v>630</v>
      </c>
      <c r="E130" s="11" t="s">
        <v>140</v>
      </c>
      <c r="F130" s="14">
        <v>338662.0</v>
      </c>
      <c r="G130" s="15">
        <f t="shared" si="7"/>
        <v>1</v>
      </c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21">
        <v>1.0</v>
      </c>
      <c r="AJ130" s="15"/>
      <c r="AK130" s="11" t="s">
        <v>63</v>
      </c>
      <c r="AL130" s="17">
        <f t="shared" si="2"/>
        <v>69.552</v>
      </c>
      <c r="AM130" s="17">
        <f t="shared" si="3"/>
        <v>129.168</v>
      </c>
      <c r="AN130" s="11" t="s">
        <v>55</v>
      </c>
      <c r="AO130" s="11" t="s">
        <v>1</v>
      </c>
      <c r="AP130" s="11" t="s">
        <v>56</v>
      </c>
      <c r="AQ130" s="18">
        <v>99.36</v>
      </c>
      <c r="AR130" s="51" t="s">
        <v>631</v>
      </c>
      <c r="AS130" s="34">
        <v>44607.0</v>
      </c>
      <c r="AT130" s="23"/>
      <c r="AU130" s="24"/>
      <c r="AV130" s="34"/>
      <c r="AW130" s="23"/>
      <c r="AX130" s="24"/>
      <c r="AY130" s="34"/>
      <c r="AZ130" s="17">
        <f t="shared" si="8"/>
        <v>99.36</v>
      </c>
    </row>
    <row r="131">
      <c r="A131" s="10">
        <v>130.0</v>
      </c>
      <c r="B131" s="11">
        <v>2.1000000515E10</v>
      </c>
      <c r="C131" s="12" t="s">
        <v>632</v>
      </c>
      <c r="D131" s="13" t="s">
        <v>633</v>
      </c>
      <c r="E131" s="11" t="s">
        <v>140</v>
      </c>
      <c r="F131" s="14">
        <v>412156.0</v>
      </c>
      <c r="G131" s="15">
        <f t="shared" si="7"/>
        <v>2</v>
      </c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21">
        <v>2.0</v>
      </c>
      <c r="AK131" s="11" t="s">
        <v>63</v>
      </c>
      <c r="AL131" s="17">
        <f t="shared" si="2"/>
        <v>237.839</v>
      </c>
      <c r="AM131" s="17">
        <f t="shared" si="3"/>
        <v>441.701</v>
      </c>
      <c r="AN131" s="11" t="s">
        <v>55</v>
      </c>
      <c r="AO131" s="11" t="s">
        <v>1</v>
      </c>
      <c r="AP131" s="11" t="s">
        <v>56</v>
      </c>
      <c r="AQ131" s="23">
        <f>5*79.59</f>
        <v>397.95</v>
      </c>
      <c r="AR131" s="19" t="s">
        <v>634</v>
      </c>
      <c r="AS131" s="34">
        <v>44607.0</v>
      </c>
      <c r="AT131" s="18">
        <v>289.82</v>
      </c>
      <c r="AU131" s="22" t="s">
        <v>635</v>
      </c>
      <c r="AV131" s="34">
        <v>44607.0</v>
      </c>
      <c r="AW131" s="18">
        <v>331.54</v>
      </c>
      <c r="AX131" s="19" t="s">
        <v>636</v>
      </c>
      <c r="AY131" s="34">
        <v>44607.0</v>
      </c>
      <c r="AZ131" s="17">
        <f t="shared" si="8"/>
        <v>339.77</v>
      </c>
    </row>
    <row r="132">
      <c r="A132" s="10">
        <v>131.0</v>
      </c>
      <c r="B132" s="11">
        <v>2.1000000503E10</v>
      </c>
      <c r="C132" s="12" t="s">
        <v>637</v>
      </c>
      <c r="D132" s="13" t="s">
        <v>638</v>
      </c>
      <c r="E132" s="11" t="s">
        <v>389</v>
      </c>
      <c r="F132" s="14">
        <v>479327.0</v>
      </c>
      <c r="G132" s="15">
        <f t="shared" si="7"/>
        <v>3</v>
      </c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21">
        <v>3.0</v>
      </c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7" t="str">
        <f t="shared" si="2"/>
        <v>#DIV/0!</v>
      </c>
      <c r="AM132" s="17" t="str">
        <f t="shared" si="3"/>
        <v>#DIV/0!</v>
      </c>
      <c r="AN132" s="11" t="s">
        <v>55</v>
      </c>
      <c r="AO132" s="11" t="s">
        <v>1</v>
      </c>
      <c r="AP132" s="11" t="s">
        <v>56</v>
      </c>
      <c r="AQ132" s="23"/>
      <c r="AR132" s="24"/>
      <c r="AS132" s="15"/>
      <c r="AT132" s="23"/>
      <c r="AU132" s="24"/>
      <c r="AV132" s="15"/>
      <c r="AW132" s="23"/>
      <c r="AX132" s="24"/>
      <c r="AY132" s="15"/>
      <c r="AZ132" s="17" t="str">
        <f t="shared" si="8"/>
        <v>#DIV/0!</v>
      </c>
    </row>
    <row r="133">
      <c r="A133" s="10">
        <v>132.0</v>
      </c>
      <c r="B133" s="11">
        <v>2.1000000254E10</v>
      </c>
      <c r="C133" s="12" t="s">
        <v>639</v>
      </c>
      <c r="D133" s="13" t="s">
        <v>640</v>
      </c>
      <c r="E133" s="11" t="s">
        <v>85</v>
      </c>
      <c r="F133" s="14">
        <v>419368.0</v>
      </c>
      <c r="G133" s="15">
        <f t="shared" si="7"/>
        <v>1</v>
      </c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21">
        <v>1.0</v>
      </c>
      <c r="AI133" s="15"/>
      <c r="AJ133" s="15"/>
      <c r="AK133" s="15"/>
      <c r="AL133" s="17">
        <f t="shared" si="2"/>
        <v>18.27233333</v>
      </c>
      <c r="AM133" s="17">
        <f t="shared" si="3"/>
        <v>33.93433333</v>
      </c>
      <c r="AN133" s="11" t="s">
        <v>55</v>
      </c>
      <c r="AO133" s="11" t="s">
        <v>1</v>
      </c>
      <c r="AP133" s="11" t="s">
        <v>56</v>
      </c>
      <c r="AQ133" s="18">
        <v>24.27</v>
      </c>
      <c r="AR133" s="22" t="s">
        <v>641</v>
      </c>
      <c r="AS133" s="34">
        <v>44607.0</v>
      </c>
      <c r="AT133" s="18">
        <v>24.04</v>
      </c>
      <c r="AU133" s="22" t="s">
        <v>642</v>
      </c>
      <c r="AV133" s="34">
        <v>44607.0</v>
      </c>
      <c r="AW133" s="18">
        <v>30.0</v>
      </c>
      <c r="AX133" s="19" t="s">
        <v>643</v>
      </c>
      <c r="AY133" s="34">
        <v>44607.0</v>
      </c>
      <c r="AZ133" s="17">
        <f t="shared" si="8"/>
        <v>26.10333333</v>
      </c>
    </row>
    <row r="134">
      <c r="A134" s="10">
        <v>133.0</v>
      </c>
      <c r="B134" s="11">
        <v>2.1000000349E10</v>
      </c>
      <c r="C134" s="28" t="s">
        <v>644</v>
      </c>
      <c r="D134" s="13" t="s">
        <v>645</v>
      </c>
      <c r="E134" s="11" t="s">
        <v>97</v>
      </c>
      <c r="F134" s="14">
        <v>356968.0</v>
      </c>
      <c r="G134" s="15">
        <f t="shared" si="7"/>
        <v>200</v>
      </c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6">
        <v>200.0</v>
      </c>
      <c r="AJ134" s="15"/>
      <c r="AK134" s="11" t="s">
        <v>63</v>
      </c>
      <c r="AL134" s="17">
        <f t="shared" si="2"/>
        <v>0.4275133333</v>
      </c>
      <c r="AM134" s="17">
        <f t="shared" si="3"/>
        <v>0.7939533333</v>
      </c>
      <c r="AN134" s="11" t="s">
        <v>55</v>
      </c>
      <c r="AO134" s="11" t="s">
        <v>1</v>
      </c>
      <c r="AP134" s="11" t="s">
        <v>56</v>
      </c>
      <c r="AQ134" s="23">
        <f>61.5/100</f>
        <v>0.615</v>
      </c>
      <c r="AR134" s="19" t="s">
        <v>646</v>
      </c>
      <c r="AS134" s="34">
        <v>44607.0</v>
      </c>
      <c r="AT134" s="23">
        <f>58.09/100</f>
        <v>0.5809</v>
      </c>
      <c r="AU134" s="19" t="s">
        <v>647</v>
      </c>
      <c r="AV134" s="34">
        <v>44607.0</v>
      </c>
      <c r="AW134" s="23">
        <f>63.63 /100</f>
        <v>0.6363</v>
      </c>
      <c r="AX134" s="19" t="s">
        <v>648</v>
      </c>
      <c r="AY134" s="34">
        <v>44607.0</v>
      </c>
      <c r="AZ134" s="17">
        <f t="shared" si="8"/>
        <v>0.6107333333</v>
      </c>
    </row>
    <row r="135">
      <c r="A135" s="10">
        <v>134.0</v>
      </c>
      <c r="B135" s="11">
        <v>2.1000000249E10</v>
      </c>
      <c r="C135" s="12" t="s">
        <v>649</v>
      </c>
      <c r="D135" s="13" t="s">
        <v>650</v>
      </c>
      <c r="E135" s="11" t="s">
        <v>140</v>
      </c>
      <c r="F135" s="27">
        <v>317830.0</v>
      </c>
      <c r="G135" s="15">
        <f t="shared" si="7"/>
        <v>10</v>
      </c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1">
        <v>3.0</v>
      </c>
      <c r="S135" s="15"/>
      <c r="T135" s="15"/>
      <c r="U135" s="15"/>
      <c r="V135" s="15"/>
      <c r="W135" s="15"/>
      <c r="X135" s="15"/>
      <c r="Y135" s="15"/>
      <c r="Z135" s="15"/>
      <c r="AA135" s="11">
        <v>1.0</v>
      </c>
      <c r="AB135" s="16">
        <v>4.0</v>
      </c>
      <c r="AC135" s="15"/>
      <c r="AD135" s="11">
        <v>1.0</v>
      </c>
      <c r="AE135" s="15"/>
      <c r="AF135" s="15"/>
      <c r="AG135" s="15"/>
      <c r="AH135" s="11">
        <v>1.0</v>
      </c>
      <c r="AI135" s="15"/>
      <c r="AJ135" s="15"/>
      <c r="AK135" s="11" t="s">
        <v>63</v>
      </c>
      <c r="AL135" s="17">
        <f t="shared" si="2"/>
        <v>43.47933333</v>
      </c>
      <c r="AM135" s="17">
        <f t="shared" si="3"/>
        <v>80.74733333</v>
      </c>
      <c r="AN135" s="11" t="s">
        <v>55</v>
      </c>
      <c r="AO135" s="11" t="s">
        <v>1</v>
      </c>
      <c r="AP135" s="11" t="s">
        <v>56</v>
      </c>
      <c r="AQ135" s="18">
        <v>60.0</v>
      </c>
      <c r="AR135" s="19" t="s">
        <v>651</v>
      </c>
      <c r="AS135" s="34">
        <v>44607.0</v>
      </c>
      <c r="AT135" s="18">
        <v>66.51</v>
      </c>
      <c r="AU135" s="19" t="s">
        <v>652</v>
      </c>
      <c r="AV135" s="34">
        <v>44607.0</v>
      </c>
      <c r="AW135" s="18">
        <v>59.83</v>
      </c>
      <c r="AX135" s="22" t="s">
        <v>653</v>
      </c>
      <c r="AY135" s="34">
        <v>44607.0</v>
      </c>
      <c r="AZ135" s="17">
        <f t="shared" si="8"/>
        <v>62.11333333</v>
      </c>
    </row>
    <row r="136">
      <c r="A136" s="10">
        <v>135.0</v>
      </c>
      <c r="B136" s="11">
        <v>2.1000000247E10</v>
      </c>
      <c r="C136" s="12" t="s">
        <v>654</v>
      </c>
      <c r="D136" s="13" t="s">
        <v>655</v>
      </c>
      <c r="E136" s="11" t="s">
        <v>97</v>
      </c>
      <c r="F136" s="14">
        <v>416261.0</v>
      </c>
      <c r="G136" s="15">
        <f t="shared" si="7"/>
        <v>1500</v>
      </c>
      <c r="H136" s="15"/>
      <c r="I136" s="15"/>
      <c r="J136" s="15"/>
      <c r="K136" s="15"/>
      <c r="L136" s="15"/>
      <c r="M136" s="15"/>
      <c r="N136" s="15"/>
      <c r="O136" s="15"/>
      <c r="P136" s="15"/>
      <c r="Q136" s="11">
        <v>1000.0</v>
      </c>
      <c r="R136" s="15"/>
      <c r="S136" s="15"/>
      <c r="T136" s="15"/>
      <c r="U136" s="15"/>
      <c r="V136" s="15"/>
      <c r="W136" s="15"/>
      <c r="X136" s="15"/>
      <c r="Y136" s="15"/>
      <c r="Z136" s="15"/>
      <c r="AA136" s="21">
        <v>500.0</v>
      </c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7">
        <f t="shared" si="2"/>
        <v>0.140098</v>
      </c>
      <c r="AM136" s="17">
        <f t="shared" si="3"/>
        <v>0.260182</v>
      </c>
      <c r="AN136" s="15"/>
      <c r="AO136" s="15"/>
      <c r="AP136" s="11" t="s">
        <v>56</v>
      </c>
      <c r="AQ136" s="18">
        <f>119.24/500</f>
        <v>0.23848</v>
      </c>
      <c r="AR136" s="22" t="s">
        <v>656</v>
      </c>
      <c r="AS136" s="34">
        <v>44607.0</v>
      </c>
      <c r="AT136" s="23">
        <f>96.59/500</f>
        <v>0.19318</v>
      </c>
      <c r="AU136" s="19" t="s">
        <v>657</v>
      </c>
      <c r="AV136" s="34">
        <v>44607.0</v>
      </c>
      <c r="AW136" s="23">
        <f>84.38/500</f>
        <v>0.16876</v>
      </c>
      <c r="AX136" s="19" t="s">
        <v>658</v>
      </c>
      <c r="AY136" s="34">
        <v>44607.0</v>
      </c>
      <c r="AZ136" s="17">
        <f t="shared" si="8"/>
        <v>0.20014</v>
      </c>
    </row>
    <row r="137">
      <c r="A137" s="10">
        <v>136.0</v>
      </c>
      <c r="B137" s="11">
        <v>2.1000000504E10</v>
      </c>
      <c r="C137" s="12" t="s">
        <v>659</v>
      </c>
      <c r="D137" s="13" t="s">
        <v>660</v>
      </c>
      <c r="E137" s="11" t="s">
        <v>140</v>
      </c>
      <c r="F137" s="14">
        <v>407914.0</v>
      </c>
      <c r="G137" s="15">
        <f t="shared" si="7"/>
        <v>1</v>
      </c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21">
        <v>1.0</v>
      </c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7">
        <f t="shared" si="2"/>
        <v>43.13166667</v>
      </c>
      <c r="AM137" s="17">
        <f t="shared" si="3"/>
        <v>80.10166667</v>
      </c>
      <c r="AN137" s="11" t="s">
        <v>55</v>
      </c>
      <c r="AO137" s="11" t="s">
        <v>1</v>
      </c>
      <c r="AP137" s="11" t="s">
        <v>56</v>
      </c>
      <c r="AQ137" s="18">
        <v>75.0</v>
      </c>
      <c r="AR137" s="22" t="s">
        <v>661</v>
      </c>
      <c r="AS137" s="34">
        <v>44607.0</v>
      </c>
      <c r="AT137" s="18">
        <v>60.98</v>
      </c>
      <c r="AU137" s="19" t="s">
        <v>662</v>
      </c>
      <c r="AV137" s="34">
        <v>44607.0</v>
      </c>
      <c r="AW137" s="18">
        <v>48.87</v>
      </c>
      <c r="AX137" s="19" t="s">
        <v>663</v>
      </c>
      <c r="AY137" s="34">
        <v>44607.0</v>
      </c>
      <c r="AZ137" s="17">
        <f t="shared" si="8"/>
        <v>61.61666667</v>
      </c>
    </row>
    <row r="138">
      <c r="A138" s="10">
        <v>137.0</v>
      </c>
      <c r="B138" s="11">
        <v>2.1000000236E10</v>
      </c>
      <c r="C138" s="12" t="s">
        <v>664</v>
      </c>
      <c r="D138" s="13" t="s">
        <v>665</v>
      </c>
      <c r="E138" s="11" t="s">
        <v>97</v>
      </c>
      <c r="F138" s="14">
        <v>428569.0</v>
      </c>
      <c r="G138" s="15">
        <f t="shared" si="7"/>
        <v>500</v>
      </c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21">
        <v>500.0</v>
      </c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7">
        <f t="shared" si="2"/>
        <v>0.377195</v>
      </c>
      <c r="AM138" s="17">
        <f t="shared" si="3"/>
        <v>0.700505</v>
      </c>
      <c r="AN138" s="15"/>
      <c r="AO138" s="15"/>
      <c r="AP138" s="11" t="s">
        <v>56</v>
      </c>
      <c r="AQ138" s="23">
        <f>245.08/500</f>
        <v>0.49016</v>
      </c>
      <c r="AR138" s="22" t="s">
        <v>666</v>
      </c>
      <c r="AS138" s="34">
        <v>44607.0</v>
      </c>
      <c r="AT138" s="23">
        <f>293.77 /500</f>
        <v>0.58754</v>
      </c>
      <c r="AU138" s="19" t="s">
        <v>667</v>
      </c>
      <c r="AV138" s="34">
        <v>44607.0</v>
      </c>
      <c r="AW138" s="23"/>
      <c r="AX138" s="24"/>
      <c r="AY138" s="34">
        <v>44607.0</v>
      </c>
      <c r="AZ138" s="17">
        <f t="shared" si="8"/>
        <v>0.53885</v>
      </c>
    </row>
    <row r="139">
      <c r="A139" s="10">
        <v>138.0</v>
      </c>
      <c r="B139" s="11">
        <v>2.1000000232E10</v>
      </c>
      <c r="C139" s="12" t="s">
        <v>668</v>
      </c>
      <c r="D139" s="13" t="s">
        <v>669</v>
      </c>
      <c r="E139" s="11" t="s">
        <v>97</v>
      </c>
      <c r="F139" s="14">
        <v>345770.0</v>
      </c>
      <c r="G139" s="15">
        <f t="shared" si="7"/>
        <v>7000</v>
      </c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6">
        <v>2000.0</v>
      </c>
      <c r="AJ139" s="11">
        <v>5000.0</v>
      </c>
      <c r="AK139" s="15"/>
      <c r="AL139" s="17">
        <f t="shared" si="2"/>
        <v>0.08716866667</v>
      </c>
      <c r="AM139" s="17">
        <f t="shared" si="3"/>
        <v>0.1618846667</v>
      </c>
      <c r="AN139" s="11" t="s">
        <v>55</v>
      </c>
      <c r="AO139" s="11" t="s">
        <v>1</v>
      </c>
      <c r="AP139" s="11" t="s">
        <v>56</v>
      </c>
      <c r="AQ139" s="23">
        <f>48.12/500</f>
        <v>0.09624</v>
      </c>
      <c r="AR139" s="22" t="s">
        <v>670</v>
      </c>
      <c r="AS139" s="34">
        <v>44607.0</v>
      </c>
      <c r="AT139" s="23">
        <f>65.63/500</f>
        <v>0.13126</v>
      </c>
      <c r="AU139" s="19" t="s">
        <v>671</v>
      </c>
      <c r="AV139" s="34">
        <v>44607.0</v>
      </c>
      <c r="AW139" s="23">
        <f>36.52/250</f>
        <v>0.14608</v>
      </c>
      <c r="AX139" s="22" t="s">
        <v>672</v>
      </c>
      <c r="AY139" s="34">
        <v>44607.0</v>
      </c>
      <c r="AZ139" s="17">
        <f t="shared" si="8"/>
        <v>0.1245266667</v>
      </c>
    </row>
    <row r="140">
      <c r="A140" s="10">
        <v>139.0</v>
      </c>
      <c r="B140" s="11">
        <v>2.1000000227E10</v>
      </c>
      <c r="C140" s="12" t="s">
        <v>673</v>
      </c>
      <c r="D140" s="13" t="s">
        <v>674</v>
      </c>
      <c r="E140" s="11" t="s">
        <v>97</v>
      </c>
      <c r="F140" s="14">
        <v>374029.0</v>
      </c>
      <c r="G140" s="15">
        <f t="shared" si="7"/>
        <v>1000</v>
      </c>
      <c r="H140" s="15"/>
      <c r="I140" s="15"/>
      <c r="J140" s="15"/>
      <c r="K140" s="15"/>
      <c r="L140" s="15"/>
      <c r="M140" s="15"/>
      <c r="N140" s="15"/>
      <c r="O140" s="15"/>
      <c r="P140" s="15"/>
      <c r="Q140" s="16">
        <v>1000.0</v>
      </c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7">
        <f t="shared" si="2"/>
        <v>0.052451</v>
      </c>
      <c r="AM140" s="17">
        <f t="shared" si="3"/>
        <v>0.097409</v>
      </c>
      <c r="AN140" s="11" t="s">
        <v>55</v>
      </c>
      <c r="AO140" s="11" t="s">
        <v>1</v>
      </c>
      <c r="AP140" s="11" t="s">
        <v>56</v>
      </c>
      <c r="AQ140" s="23">
        <f>59.03/1000</f>
        <v>0.05903</v>
      </c>
      <c r="AR140" s="19" t="s">
        <v>675</v>
      </c>
      <c r="AS140" s="34">
        <v>44607.0</v>
      </c>
      <c r="AT140" s="23">
        <f>36/500</f>
        <v>0.072</v>
      </c>
      <c r="AU140" s="22" t="s">
        <v>676</v>
      </c>
      <c r="AV140" s="34">
        <v>44607.0</v>
      </c>
      <c r="AW140" s="23">
        <f>46.88/500</f>
        <v>0.09376</v>
      </c>
      <c r="AX140" s="19" t="s">
        <v>677</v>
      </c>
      <c r="AY140" s="34">
        <v>44607.0</v>
      </c>
      <c r="AZ140" s="17">
        <f t="shared" si="8"/>
        <v>0.07493</v>
      </c>
    </row>
    <row r="141">
      <c r="A141" s="10">
        <v>140.0</v>
      </c>
      <c r="B141" s="11">
        <v>2.1000000226E10</v>
      </c>
      <c r="C141" s="12" t="s">
        <v>678</v>
      </c>
      <c r="D141" s="13" t="s">
        <v>679</v>
      </c>
      <c r="E141" s="11" t="s">
        <v>97</v>
      </c>
      <c r="F141" s="14">
        <v>445557.0</v>
      </c>
      <c r="G141" s="15">
        <f t="shared" si="7"/>
        <v>1000</v>
      </c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21">
        <v>1000.0</v>
      </c>
      <c r="AJ141" s="15"/>
      <c r="AK141" s="15"/>
      <c r="AL141" s="17">
        <f t="shared" si="2"/>
        <v>0.02236733333</v>
      </c>
      <c r="AM141" s="17">
        <f t="shared" si="3"/>
        <v>0.04153933333</v>
      </c>
      <c r="AN141" s="11" t="s">
        <v>55</v>
      </c>
      <c r="AO141" s="11" t="s">
        <v>1</v>
      </c>
      <c r="AP141" s="11" t="s">
        <v>56</v>
      </c>
      <c r="AQ141" s="23">
        <f>17.52/500</f>
        <v>0.03504</v>
      </c>
      <c r="AR141" s="22" t="s">
        <v>680</v>
      </c>
      <c r="AS141" s="34">
        <v>44607.0</v>
      </c>
      <c r="AT141" s="23">
        <f>16.67/500</f>
        <v>0.03334</v>
      </c>
      <c r="AU141" s="19" t="s">
        <v>681</v>
      </c>
      <c r="AV141" s="34">
        <v>44607.0</v>
      </c>
      <c r="AW141" s="23">
        <f>13.74 /500</f>
        <v>0.02748</v>
      </c>
      <c r="AX141" s="19" t="s">
        <v>682</v>
      </c>
      <c r="AY141" s="34">
        <v>44607.0</v>
      </c>
      <c r="AZ141" s="17">
        <f t="shared" si="8"/>
        <v>0.03195333333</v>
      </c>
    </row>
    <row r="142">
      <c r="A142" s="10">
        <v>141.0</v>
      </c>
      <c r="B142" s="11">
        <v>2.1000000223E10</v>
      </c>
      <c r="C142" s="28" t="s">
        <v>683</v>
      </c>
      <c r="D142" s="13" t="s">
        <v>684</v>
      </c>
      <c r="E142" s="11" t="s">
        <v>85</v>
      </c>
      <c r="F142" s="14">
        <v>357866.0</v>
      </c>
      <c r="G142" s="15">
        <f t="shared" si="7"/>
        <v>1</v>
      </c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21">
        <v>1.0</v>
      </c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7">
        <f t="shared" si="2"/>
        <v>44.98433333</v>
      </c>
      <c r="AM142" s="17">
        <f t="shared" si="3"/>
        <v>83.54233333</v>
      </c>
      <c r="AN142" s="11" t="s">
        <v>55</v>
      </c>
      <c r="AO142" s="11" t="s">
        <v>1</v>
      </c>
      <c r="AP142" s="11" t="s">
        <v>56</v>
      </c>
      <c r="AQ142" s="18">
        <v>75.0</v>
      </c>
      <c r="AR142" s="19" t="s">
        <v>685</v>
      </c>
      <c r="AS142" s="34">
        <v>44607.0</v>
      </c>
      <c r="AT142" s="18">
        <v>54.69</v>
      </c>
      <c r="AU142" s="22" t="s">
        <v>686</v>
      </c>
      <c r="AV142" s="34">
        <v>44607.0</v>
      </c>
      <c r="AW142" s="23">
        <f>2*31.55</f>
        <v>63.1</v>
      </c>
      <c r="AX142" s="19" t="s">
        <v>687</v>
      </c>
      <c r="AY142" s="34">
        <v>44607.0</v>
      </c>
      <c r="AZ142" s="17">
        <f t="shared" si="8"/>
        <v>64.26333333</v>
      </c>
    </row>
    <row r="143">
      <c r="A143" s="10">
        <v>142.0</v>
      </c>
      <c r="B143" s="11">
        <v>2.1000000342E10</v>
      </c>
      <c r="C143" s="12" t="s">
        <v>688</v>
      </c>
      <c r="D143" s="13" t="s">
        <v>689</v>
      </c>
      <c r="E143" s="11" t="s">
        <v>85</v>
      </c>
      <c r="F143" s="14">
        <v>352843.0</v>
      </c>
      <c r="G143" s="15">
        <f t="shared" si="7"/>
        <v>22</v>
      </c>
      <c r="H143" s="15"/>
      <c r="I143" s="15"/>
      <c r="J143" s="15"/>
      <c r="K143" s="15"/>
      <c r="L143" s="15"/>
      <c r="M143" s="15"/>
      <c r="N143" s="15"/>
      <c r="O143" s="15"/>
      <c r="P143" s="15"/>
      <c r="Q143" s="21">
        <v>2.0</v>
      </c>
      <c r="R143" s="15"/>
      <c r="S143" s="15"/>
      <c r="T143" s="15"/>
      <c r="U143" s="15"/>
      <c r="V143" s="15"/>
      <c r="W143" s="11">
        <v>11.0</v>
      </c>
      <c r="X143" s="15"/>
      <c r="Y143" s="15"/>
      <c r="Z143" s="15"/>
      <c r="AA143" s="11">
        <v>1.0</v>
      </c>
      <c r="AB143" s="15"/>
      <c r="AC143" s="15"/>
      <c r="AD143" s="15"/>
      <c r="AE143" s="15"/>
      <c r="AF143" s="15"/>
      <c r="AG143" s="15"/>
      <c r="AH143" s="15"/>
      <c r="AI143" s="11">
        <v>3.0</v>
      </c>
      <c r="AJ143" s="12">
        <v>5.0</v>
      </c>
      <c r="AK143" s="15"/>
      <c r="AL143" s="17">
        <f t="shared" si="2"/>
        <v>12.94533333</v>
      </c>
      <c r="AM143" s="17">
        <f t="shared" si="3"/>
        <v>24.04133333</v>
      </c>
      <c r="AN143" s="11" t="s">
        <v>55</v>
      </c>
      <c r="AO143" s="11" t="s">
        <v>1</v>
      </c>
      <c r="AP143" s="11" t="s">
        <v>56</v>
      </c>
      <c r="AQ143" s="18">
        <v>23.04</v>
      </c>
      <c r="AR143" s="22" t="s">
        <v>690</v>
      </c>
      <c r="AS143" s="34">
        <v>44607.0</v>
      </c>
      <c r="AT143" s="18">
        <v>15.77</v>
      </c>
      <c r="AU143" s="22" t="s">
        <v>691</v>
      </c>
      <c r="AV143" s="34">
        <v>44607.0</v>
      </c>
      <c r="AW143" s="18">
        <v>16.67</v>
      </c>
      <c r="AX143" s="19" t="s">
        <v>692</v>
      </c>
      <c r="AY143" s="34">
        <v>44607.0</v>
      </c>
      <c r="AZ143" s="17">
        <f t="shared" si="8"/>
        <v>18.49333333</v>
      </c>
    </row>
    <row r="144">
      <c r="A144" s="10">
        <v>143.0</v>
      </c>
      <c r="B144" s="11">
        <v>2.1000000212E10</v>
      </c>
      <c r="C144" s="12" t="s">
        <v>693</v>
      </c>
      <c r="D144" s="13" t="s">
        <v>694</v>
      </c>
      <c r="E144" s="11" t="s">
        <v>97</v>
      </c>
      <c r="F144" s="14">
        <v>382558.0</v>
      </c>
      <c r="G144" s="15">
        <f t="shared" si="7"/>
        <v>1000</v>
      </c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21">
        <v>500.0</v>
      </c>
      <c r="AB144" s="15"/>
      <c r="AC144" s="15"/>
      <c r="AD144" s="15"/>
      <c r="AE144" s="15"/>
      <c r="AF144" s="15"/>
      <c r="AG144" s="15"/>
      <c r="AH144" s="15"/>
      <c r="AI144" s="11">
        <v>500.0</v>
      </c>
      <c r="AJ144" s="15"/>
      <c r="AK144" s="15"/>
      <c r="AL144" s="17">
        <f t="shared" si="2"/>
        <v>2.041326</v>
      </c>
      <c r="AM144" s="17">
        <f t="shared" si="3"/>
        <v>3.791034</v>
      </c>
      <c r="AN144" s="11" t="s">
        <v>55</v>
      </c>
      <c r="AO144" s="15"/>
      <c r="AP144" s="11" t="s">
        <v>56</v>
      </c>
      <c r="AQ144" s="23">
        <f>1458.09 /500</f>
        <v>2.91618</v>
      </c>
      <c r="AR144" s="19" t="s">
        <v>695</v>
      </c>
      <c r="AS144" s="34">
        <v>44607.0</v>
      </c>
      <c r="AT144" s="23"/>
      <c r="AU144" s="24"/>
      <c r="AV144" s="15"/>
      <c r="AW144" s="23"/>
      <c r="AX144" s="24"/>
      <c r="AY144" s="15"/>
      <c r="AZ144" s="17">
        <f t="shared" si="8"/>
        <v>2.91618</v>
      </c>
    </row>
    <row r="145">
      <c r="A145" s="10">
        <v>144.0</v>
      </c>
      <c r="B145" s="11">
        <v>2.1000000216E10</v>
      </c>
      <c r="C145" s="12" t="s">
        <v>696</v>
      </c>
      <c r="D145" s="13" t="s">
        <v>697</v>
      </c>
      <c r="E145" s="11" t="s">
        <v>97</v>
      </c>
      <c r="F145" s="14">
        <v>360465.0</v>
      </c>
      <c r="G145" s="15">
        <f t="shared" si="7"/>
        <v>3500</v>
      </c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21">
        <v>3000.0</v>
      </c>
      <c r="S145" s="15"/>
      <c r="T145" s="15"/>
      <c r="U145" s="15"/>
      <c r="V145" s="15"/>
      <c r="W145" s="15"/>
      <c r="X145" s="15"/>
      <c r="Y145" s="15"/>
      <c r="Z145" s="15"/>
      <c r="AA145" s="11">
        <v>500.0</v>
      </c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7">
        <f t="shared" si="2"/>
        <v>0.029316</v>
      </c>
      <c r="AM145" s="17">
        <f t="shared" si="3"/>
        <v>0.054444</v>
      </c>
      <c r="AN145" s="11" t="s">
        <v>55</v>
      </c>
      <c r="AO145" s="11" t="s">
        <v>1</v>
      </c>
      <c r="AP145" s="11" t="s">
        <v>56</v>
      </c>
      <c r="AQ145" s="23">
        <f>42.28/1000</f>
        <v>0.04228</v>
      </c>
      <c r="AR145" s="22" t="s">
        <v>698</v>
      </c>
      <c r="AS145" s="34">
        <v>44607.0</v>
      </c>
      <c r="AT145" s="23">
        <f>17.7 /500</f>
        <v>0.0354</v>
      </c>
      <c r="AU145" s="22" t="s">
        <v>699</v>
      </c>
      <c r="AV145" s="34">
        <v>44607.0</v>
      </c>
      <c r="AW145" s="23">
        <f>23.98/500</f>
        <v>0.04796</v>
      </c>
      <c r="AX145" s="22" t="s">
        <v>700</v>
      </c>
      <c r="AY145" s="34">
        <v>44607.0</v>
      </c>
      <c r="AZ145" s="17">
        <f t="shared" si="8"/>
        <v>0.04188</v>
      </c>
    </row>
    <row r="146">
      <c r="A146" s="10">
        <v>145.0</v>
      </c>
      <c r="B146" s="11">
        <v>3.011098253E9</v>
      </c>
      <c r="C146" s="12" t="s">
        <v>701</v>
      </c>
      <c r="D146" s="13" t="s">
        <v>702</v>
      </c>
      <c r="E146" s="11" t="s">
        <v>97</v>
      </c>
      <c r="F146" s="14">
        <v>348685.0</v>
      </c>
      <c r="G146" s="15">
        <f t="shared" si="7"/>
        <v>2000</v>
      </c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21">
        <v>2000.0</v>
      </c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7">
        <f t="shared" si="2"/>
        <v>0.04993333333</v>
      </c>
      <c r="AM146" s="17">
        <f t="shared" si="3"/>
        <v>0.09273333333</v>
      </c>
      <c r="AN146" s="11" t="s">
        <v>55</v>
      </c>
      <c r="AO146" s="11" t="s">
        <v>1</v>
      </c>
      <c r="AP146" s="11" t="s">
        <v>56</v>
      </c>
      <c r="AQ146" s="23">
        <f>37.5/500</f>
        <v>0.075</v>
      </c>
      <c r="AR146" s="22" t="s">
        <v>703</v>
      </c>
      <c r="AS146" s="34">
        <v>44607.0</v>
      </c>
      <c r="AT146" s="23">
        <f>35.34/500</f>
        <v>0.07068</v>
      </c>
      <c r="AU146" s="22" t="s">
        <v>704</v>
      </c>
      <c r="AV146" s="34">
        <v>44607.0</v>
      </c>
      <c r="AW146" s="23">
        <f>68.32/1000</f>
        <v>0.06832</v>
      </c>
      <c r="AX146" s="22" t="s">
        <v>705</v>
      </c>
      <c r="AY146" s="34">
        <v>44607.0</v>
      </c>
      <c r="AZ146" s="17">
        <f t="shared" si="8"/>
        <v>0.07133333333</v>
      </c>
    </row>
    <row r="147">
      <c r="A147" s="10">
        <v>146.0</v>
      </c>
      <c r="B147" s="11">
        <v>2.1000000211E10</v>
      </c>
      <c r="C147" s="12" t="s">
        <v>706</v>
      </c>
      <c r="D147" s="13" t="s">
        <v>707</v>
      </c>
      <c r="E147" s="11" t="s">
        <v>97</v>
      </c>
      <c r="F147" s="14">
        <v>366478.0</v>
      </c>
      <c r="G147" s="15">
        <f t="shared" si="7"/>
        <v>11000</v>
      </c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>
        <v>500.0</v>
      </c>
      <c r="AD147" s="15"/>
      <c r="AE147" s="15"/>
      <c r="AF147" s="15"/>
      <c r="AG147" s="15"/>
      <c r="AH147" s="15"/>
      <c r="AI147" s="16">
        <v>3000.0</v>
      </c>
      <c r="AJ147" s="11">
        <v>7500.0</v>
      </c>
      <c r="AK147" s="15"/>
      <c r="AL147" s="17">
        <f t="shared" si="2"/>
        <v>0.03527066667</v>
      </c>
      <c r="AM147" s="17">
        <f t="shared" si="3"/>
        <v>0.06550266667</v>
      </c>
      <c r="AN147" s="11" t="s">
        <v>55</v>
      </c>
      <c r="AO147" s="11" t="s">
        <v>1</v>
      </c>
      <c r="AP147" s="11" t="s">
        <v>56</v>
      </c>
      <c r="AQ147" s="23">
        <f>20.91/500</f>
        <v>0.04182</v>
      </c>
      <c r="AR147" s="22" t="s">
        <v>708</v>
      </c>
      <c r="AS147" s="34">
        <v>44607.0</v>
      </c>
      <c r="AT147" s="23">
        <f>28.13/500</f>
        <v>0.05626</v>
      </c>
      <c r="AU147" s="22" t="s">
        <v>709</v>
      </c>
      <c r="AV147" s="34">
        <v>44607.0</v>
      </c>
      <c r="AW147" s="23">
        <f>26.54/500</f>
        <v>0.05308</v>
      </c>
      <c r="AX147" s="22" t="s">
        <v>710</v>
      </c>
      <c r="AY147" s="34">
        <v>44607.0</v>
      </c>
      <c r="AZ147" s="17">
        <f t="shared" si="8"/>
        <v>0.05038666667</v>
      </c>
    </row>
    <row r="148">
      <c r="A148" s="10">
        <v>147.0</v>
      </c>
      <c r="B148" s="11">
        <v>2.1000000218E10</v>
      </c>
      <c r="C148" s="12" t="s">
        <v>711</v>
      </c>
      <c r="D148" s="13" t="s">
        <v>712</v>
      </c>
      <c r="E148" s="11" t="s">
        <v>97</v>
      </c>
      <c r="F148" s="14">
        <v>366480.0</v>
      </c>
      <c r="G148" s="15">
        <f t="shared" si="7"/>
        <v>500</v>
      </c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21">
        <v>500.0</v>
      </c>
      <c r="AB148" s="15"/>
      <c r="AC148" s="15"/>
      <c r="AD148" s="15"/>
      <c r="AE148" s="15"/>
      <c r="AF148" s="15"/>
      <c r="AG148" s="15"/>
      <c r="AH148" s="15"/>
      <c r="AI148" s="15"/>
      <c r="AJ148" s="15"/>
      <c r="AK148" s="11" t="s">
        <v>63</v>
      </c>
      <c r="AL148" s="17">
        <f t="shared" si="2"/>
        <v>0.1494033333</v>
      </c>
      <c r="AM148" s="17">
        <f t="shared" si="3"/>
        <v>0.2774633333</v>
      </c>
      <c r="AN148" s="11" t="s">
        <v>55</v>
      </c>
      <c r="AO148" s="11" t="s">
        <v>1</v>
      </c>
      <c r="AP148" s="11" t="s">
        <v>56</v>
      </c>
      <c r="AQ148" s="23">
        <f>96.89/500</f>
        <v>0.19378</v>
      </c>
      <c r="AR148" s="22" t="s">
        <v>713</v>
      </c>
      <c r="AS148" s="34">
        <v>44607.0</v>
      </c>
      <c r="AT148" s="23">
        <f>89.93 /500</f>
        <v>0.17986</v>
      </c>
      <c r="AU148" s="19" t="s">
        <v>714</v>
      </c>
      <c r="AV148" s="34">
        <v>44607.0</v>
      </c>
      <c r="AW148" s="23">
        <f>133.33/500</f>
        <v>0.26666</v>
      </c>
      <c r="AX148" s="22" t="s">
        <v>715</v>
      </c>
      <c r="AY148" s="34">
        <v>44607.0</v>
      </c>
      <c r="AZ148" s="17">
        <f t="shared" si="8"/>
        <v>0.2134333333</v>
      </c>
    </row>
    <row r="149">
      <c r="A149" s="10">
        <v>148.0</v>
      </c>
      <c r="B149" s="11">
        <v>2.100000047E10</v>
      </c>
      <c r="C149" s="12" t="s">
        <v>716</v>
      </c>
      <c r="D149" s="13" t="s">
        <v>717</v>
      </c>
      <c r="E149" s="11" t="s">
        <v>62</v>
      </c>
      <c r="F149" s="14">
        <v>413588.0</v>
      </c>
      <c r="G149" s="15">
        <f t="shared" si="7"/>
        <v>2</v>
      </c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21">
        <v>2.0</v>
      </c>
      <c r="AJ149" s="15"/>
      <c r="AK149" s="15"/>
      <c r="AL149" s="17">
        <f t="shared" si="2"/>
        <v>52.493</v>
      </c>
      <c r="AM149" s="17">
        <f t="shared" si="3"/>
        <v>97.487</v>
      </c>
      <c r="AN149" s="15"/>
      <c r="AO149" s="15"/>
      <c r="AP149" s="11" t="s">
        <v>56</v>
      </c>
      <c r="AQ149" s="18">
        <v>68.35</v>
      </c>
      <c r="AR149" s="22" t="s">
        <v>718</v>
      </c>
      <c r="AS149" s="34">
        <v>44607.0</v>
      </c>
      <c r="AT149" s="18">
        <v>68.04</v>
      </c>
      <c r="AU149" s="22" t="s">
        <v>719</v>
      </c>
      <c r="AV149" s="34">
        <v>44607.0</v>
      </c>
      <c r="AW149" s="18">
        <v>88.58</v>
      </c>
      <c r="AX149" s="19" t="s">
        <v>719</v>
      </c>
      <c r="AY149" s="34">
        <v>44607.0</v>
      </c>
      <c r="AZ149" s="17">
        <f t="shared" si="8"/>
        <v>74.99</v>
      </c>
    </row>
    <row r="150">
      <c r="A150" s="10">
        <v>149.0</v>
      </c>
      <c r="B150" s="11">
        <v>2.1000000183E10</v>
      </c>
      <c r="C150" s="12" t="s">
        <v>720</v>
      </c>
      <c r="D150" s="13" t="s">
        <v>721</v>
      </c>
      <c r="E150" s="11" t="s">
        <v>97</v>
      </c>
      <c r="F150" s="14">
        <v>414655.0</v>
      </c>
      <c r="G150" s="15">
        <f t="shared" si="7"/>
        <v>1000</v>
      </c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6">
        <v>1000.0</v>
      </c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7">
        <f t="shared" si="2"/>
        <v>0.05856666667</v>
      </c>
      <c r="AM150" s="17">
        <f t="shared" si="3"/>
        <v>0.1087666667</v>
      </c>
      <c r="AN150" s="11" t="s">
        <v>55</v>
      </c>
      <c r="AO150" s="11" t="s">
        <v>1</v>
      </c>
      <c r="AP150" s="11" t="s">
        <v>56</v>
      </c>
      <c r="AQ150" s="23">
        <f>37.5/500</f>
        <v>0.075</v>
      </c>
      <c r="AR150" s="22" t="s">
        <v>722</v>
      </c>
      <c r="AS150" s="34">
        <v>44607.0</v>
      </c>
      <c r="AT150" s="23">
        <f>51.62/500</f>
        <v>0.10324</v>
      </c>
      <c r="AU150" s="22" t="s">
        <v>723</v>
      </c>
      <c r="AV150" s="34">
        <v>44607.0</v>
      </c>
      <c r="AW150" s="23">
        <f>18.19/250</f>
        <v>0.07276</v>
      </c>
      <c r="AX150" s="22" t="s">
        <v>724</v>
      </c>
      <c r="AY150" s="34">
        <v>44607.0</v>
      </c>
      <c r="AZ150" s="17">
        <f t="shared" si="8"/>
        <v>0.08366666667</v>
      </c>
    </row>
    <row r="151">
      <c r="A151" s="10">
        <v>150.0</v>
      </c>
      <c r="B151" s="52">
        <v>2.1000000174E10</v>
      </c>
      <c r="C151" s="12" t="s">
        <v>725</v>
      </c>
      <c r="D151" s="13" t="s">
        <v>726</v>
      </c>
      <c r="E151" s="11" t="s">
        <v>62</v>
      </c>
      <c r="F151" s="14">
        <v>380337.0</v>
      </c>
      <c r="G151" s="15">
        <f t="shared" si="7"/>
        <v>12</v>
      </c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21">
        <v>12.0</v>
      </c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7">
        <f t="shared" si="2"/>
        <v>25.991</v>
      </c>
      <c r="AM151" s="17">
        <f t="shared" si="3"/>
        <v>48.269</v>
      </c>
      <c r="AN151" s="11" t="s">
        <v>55</v>
      </c>
      <c r="AO151" s="11" t="s">
        <v>1</v>
      </c>
      <c r="AP151" s="11" t="s">
        <v>56</v>
      </c>
      <c r="AQ151" s="18">
        <v>32.59</v>
      </c>
      <c r="AR151" s="19" t="s">
        <v>727</v>
      </c>
      <c r="AS151" s="34">
        <v>44607.0</v>
      </c>
      <c r="AT151" s="18">
        <v>41.67</v>
      </c>
      <c r="AU151" s="22" t="s">
        <v>728</v>
      </c>
      <c r="AV151" s="34">
        <v>44607.0</v>
      </c>
      <c r="AW151" s="23"/>
      <c r="AX151" s="24"/>
      <c r="AY151" s="15"/>
      <c r="AZ151" s="17">
        <f t="shared" si="8"/>
        <v>37.13</v>
      </c>
    </row>
    <row r="152">
      <c r="A152" s="53">
        <v>151.0</v>
      </c>
      <c r="B152" s="54"/>
      <c r="C152" s="55" t="s">
        <v>729</v>
      </c>
      <c r="D152" s="56" t="s">
        <v>730</v>
      </c>
      <c r="E152" s="57" t="s">
        <v>731</v>
      </c>
      <c r="F152" s="58">
        <v>351979.0</v>
      </c>
      <c r="G152" s="54">
        <f t="shared" si="7"/>
        <v>1</v>
      </c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9">
        <v>1.0</v>
      </c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60">
        <f t="shared" si="2"/>
        <v>313.523</v>
      </c>
      <c r="AM152" s="60">
        <f t="shared" si="3"/>
        <v>582.257</v>
      </c>
      <c r="AN152" s="57"/>
      <c r="AO152" s="54"/>
      <c r="AP152" s="57" t="s">
        <v>56</v>
      </c>
      <c r="AQ152" s="61">
        <f>370.7+28.53</f>
        <v>399.23</v>
      </c>
      <c r="AR152" s="62" t="s">
        <v>732</v>
      </c>
      <c r="AS152" s="63">
        <v>44647.0</v>
      </c>
      <c r="AT152" s="64">
        <f>434.55+62</f>
        <v>496.55</v>
      </c>
      <c r="AU152" s="62" t="s">
        <v>733</v>
      </c>
      <c r="AV152" s="63">
        <v>44647.0</v>
      </c>
      <c r="AW152" s="65"/>
      <c r="AX152" s="66"/>
      <c r="AY152" s="54"/>
      <c r="AZ152" s="60">
        <f t="shared" si="8"/>
        <v>447.89</v>
      </c>
    </row>
    <row r="153">
      <c r="A153" s="10">
        <v>152.0</v>
      </c>
      <c r="B153" s="11">
        <v>2.1000000505E10</v>
      </c>
      <c r="C153" s="12" t="s">
        <v>734</v>
      </c>
      <c r="D153" s="13" t="s">
        <v>735</v>
      </c>
      <c r="E153" s="11" t="s">
        <v>62</v>
      </c>
      <c r="F153" s="14">
        <v>374769.0</v>
      </c>
      <c r="G153" s="15">
        <f t="shared" si="7"/>
        <v>10</v>
      </c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21">
        <v>10.0</v>
      </c>
      <c r="AK153" s="15"/>
      <c r="AL153" s="17">
        <f t="shared" si="2"/>
        <v>82.16366667</v>
      </c>
      <c r="AM153" s="17">
        <f t="shared" si="3"/>
        <v>152.5896667</v>
      </c>
      <c r="AN153" s="11" t="s">
        <v>55</v>
      </c>
      <c r="AO153" s="11" t="s">
        <v>1</v>
      </c>
      <c r="AP153" s="11" t="s">
        <v>56</v>
      </c>
      <c r="AQ153" s="18">
        <v>104.22</v>
      </c>
      <c r="AR153" s="22" t="s">
        <v>736</v>
      </c>
      <c r="AS153" s="34">
        <v>44607.0</v>
      </c>
      <c r="AT153" s="18">
        <v>131.25</v>
      </c>
      <c r="AU153" s="22" t="s">
        <v>737</v>
      </c>
      <c r="AV153" s="34">
        <v>44607.0</v>
      </c>
      <c r="AW153" s="18">
        <v>116.66</v>
      </c>
      <c r="AX153" s="22" t="s">
        <v>738</v>
      </c>
      <c r="AY153" s="34">
        <v>44607.0</v>
      </c>
      <c r="AZ153" s="17">
        <f t="shared" si="8"/>
        <v>117.3766667</v>
      </c>
    </row>
    <row r="154">
      <c r="A154" s="10">
        <v>153.0</v>
      </c>
      <c r="B154" s="11">
        <v>2.100000038E10</v>
      </c>
      <c r="C154" s="12" t="s">
        <v>739</v>
      </c>
      <c r="D154" s="13" t="s">
        <v>740</v>
      </c>
      <c r="E154" s="11" t="s">
        <v>97</v>
      </c>
      <c r="F154" s="14">
        <v>378141.0</v>
      </c>
      <c r="G154" s="15">
        <f t="shared" si="7"/>
        <v>10</v>
      </c>
      <c r="H154" s="16">
        <v>10.0</v>
      </c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1" t="s">
        <v>63</v>
      </c>
      <c r="AL154" s="17">
        <f t="shared" si="2"/>
        <v>16.7832</v>
      </c>
      <c r="AM154" s="17">
        <f t="shared" si="3"/>
        <v>31.1688</v>
      </c>
      <c r="AN154" s="11" t="s">
        <v>55</v>
      </c>
      <c r="AO154" s="11" t="s">
        <v>1</v>
      </c>
      <c r="AP154" s="11" t="s">
        <v>56</v>
      </c>
      <c r="AQ154" s="23">
        <f>229.91/10</f>
        <v>22.991</v>
      </c>
      <c r="AR154" s="22" t="s">
        <v>741</v>
      </c>
      <c r="AS154" s="34">
        <v>44606.0</v>
      </c>
      <c r="AT154" s="18">
        <f>217.49/10</f>
        <v>21.749</v>
      </c>
      <c r="AU154" s="22" t="s">
        <v>742</v>
      </c>
      <c r="AV154" s="34">
        <v>44606.0</v>
      </c>
      <c r="AW154" s="23">
        <f>271.88/10</f>
        <v>27.188</v>
      </c>
      <c r="AX154" s="19" t="s">
        <v>743</v>
      </c>
      <c r="AY154" s="34">
        <v>44606.0</v>
      </c>
      <c r="AZ154" s="17">
        <f t="shared" si="8"/>
        <v>23.976</v>
      </c>
    </row>
    <row r="155">
      <c r="A155" s="10">
        <v>154.0</v>
      </c>
      <c r="B155" s="11">
        <v>2.1000000506E10</v>
      </c>
      <c r="C155" s="49" t="s">
        <v>744</v>
      </c>
      <c r="D155" s="13" t="s">
        <v>745</v>
      </c>
      <c r="E155" s="11" t="s">
        <v>97</v>
      </c>
      <c r="F155" s="14">
        <v>359223.0</v>
      </c>
      <c r="G155" s="15">
        <f t="shared" si="7"/>
        <v>500</v>
      </c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6">
        <v>500.0</v>
      </c>
      <c r="AJ155" s="15"/>
      <c r="AK155" s="15"/>
      <c r="AL155" s="17">
        <f t="shared" si="2"/>
        <v>0.026586</v>
      </c>
      <c r="AM155" s="17">
        <f t="shared" si="3"/>
        <v>0.049374</v>
      </c>
      <c r="AN155" s="11" t="s">
        <v>55</v>
      </c>
      <c r="AO155" s="11" t="s">
        <v>1</v>
      </c>
      <c r="AP155" s="11" t="s">
        <v>56</v>
      </c>
      <c r="AQ155" s="23">
        <f>15/500</f>
        <v>0.03</v>
      </c>
      <c r="AR155" s="22" t="s">
        <v>746</v>
      </c>
      <c r="AS155" s="34">
        <v>44606.0</v>
      </c>
      <c r="AT155" s="23">
        <f>26.97/500</f>
        <v>0.05394</v>
      </c>
      <c r="AU155" s="22" t="s">
        <v>747</v>
      </c>
      <c r="AV155" s="34">
        <v>44606.0</v>
      </c>
      <c r="AW155" s="23">
        <f>30/1000</f>
        <v>0.03</v>
      </c>
      <c r="AX155" s="22" t="s">
        <v>748</v>
      </c>
      <c r="AY155" s="34">
        <v>44606.0</v>
      </c>
      <c r="AZ155" s="17">
        <f t="shared" si="8"/>
        <v>0.03798</v>
      </c>
    </row>
    <row r="156">
      <c r="A156" s="10">
        <v>155.0</v>
      </c>
      <c r="B156" s="11">
        <v>2.1000000507E10</v>
      </c>
      <c r="C156" s="12" t="s">
        <v>749</v>
      </c>
      <c r="D156" s="67" t="s">
        <v>750</v>
      </c>
      <c r="E156" s="11" t="s">
        <v>140</v>
      </c>
      <c r="F156" s="14">
        <v>327508.0</v>
      </c>
      <c r="G156" s="15">
        <f t="shared" si="7"/>
        <v>3</v>
      </c>
      <c r="H156" s="15"/>
      <c r="I156" s="11"/>
      <c r="J156" s="11">
        <v>1.0</v>
      </c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21">
        <v>1.0</v>
      </c>
      <c r="AJ156" s="11">
        <v>1.0</v>
      </c>
      <c r="AK156" s="15"/>
      <c r="AL156" s="17">
        <f t="shared" si="2"/>
        <v>172.214</v>
      </c>
      <c r="AM156" s="17">
        <f t="shared" si="3"/>
        <v>319.826</v>
      </c>
      <c r="AN156" s="11" t="s">
        <v>55</v>
      </c>
      <c r="AO156" s="11" t="s">
        <v>1</v>
      </c>
      <c r="AP156" s="11" t="s">
        <v>56</v>
      </c>
      <c r="AQ156" s="18">
        <v>232.17</v>
      </c>
      <c r="AR156" s="19" t="s">
        <v>751</v>
      </c>
      <c r="AS156" s="34">
        <v>44606.0</v>
      </c>
      <c r="AT156" s="18">
        <v>297.56</v>
      </c>
      <c r="AU156" s="19" t="s">
        <v>752</v>
      </c>
      <c r="AV156" s="34">
        <v>44606.0</v>
      </c>
      <c r="AW156" s="18">
        <v>208.33</v>
      </c>
      <c r="AX156" s="22" t="s">
        <v>753</v>
      </c>
      <c r="AY156" s="34">
        <v>44606.0</v>
      </c>
      <c r="AZ156" s="17">
        <f t="shared" si="8"/>
        <v>246.02</v>
      </c>
    </row>
    <row r="157">
      <c r="A157" s="10">
        <v>156.0</v>
      </c>
      <c r="B157" s="15"/>
      <c r="C157" s="12" t="s">
        <v>754</v>
      </c>
      <c r="D157" s="13" t="s">
        <v>755</v>
      </c>
      <c r="E157" s="11" t="s">
        <v>140</v>
      </c>
      <c r="F157" s="14">
        <v>327506.0</v>
      </c>
      <c r="G157" s="15">
        <f t="shared" si="7"/>
        <v>1</v>
      </c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>
        <v>1.0</v>
      </c>
      <c r="AD157" s="15"/>
      <c r="AE157" s="15"/>
      <c r="AF157" s="15"/>
      <c r="AG157" s="15"/>
      <c r="AH157" s="15"/>
      <c r="AI157" s="15"/>
      <c r="AJ157" s="15"/>
      <c r="AK157" s="15"/>
      <c r="AL157" s="17">
        <f t="shared" si="2"/>
        <v>44.877</v>
      </c>
      <c r="AM157" s="17">
        <f t="shared" si="3"/>
        <v>83.343</v>
      </c>
      <c r="AN157" s="11" t="s">
        <v>55</v>
      </c>
      <c r="AO157" s="11" t="s">
        <v>1</v>
      </c>
      <c r="AP157" s="11" t="s">
        <v>56</v>
      </c>
      <c r="AQ157" s="18">
        <v>66.63</v>
      </c>
      <c r="AR157" s="19" t="s">
        <v>756</v>
      </c>
      <c r="AS157" s="34">
        <v>44606.0</v>
      </c>
      <c r="AT157" s="18">
        <v>62.28</v>
      </c>
      <c r="AU157" s="19" t="s">
        <v>757</v>
      </c>
      <c r="AV157" s="34">
        <v>44606.0</v>
      </c>
      <c r="AW157" s="18">
        <v>63.42</v>
      </c>
      <c r="AX157" s="22" t="s">
        <v>758</v>
      </c>
      <c r="AY157" s="34">
        <v>44606.0</v>
      </c>
      <c r="AZ157" s="17">
        <f t="shared" si="8"/>
        <v>64.11</v>
      </c>
    </row>
    <row r="158">
      <c r="A158" s="10">
        <v>157.0</v>
      </c>
      <c r="B158" s="15">
        <v>2.1000000333E10</v>
      </c>
      <c r="C158" s="12" t="s">
        <v>759</v>
      </c>
      <c r="D158" s="13" t="s">
        <v>760</v>
      </c>
      <c r="E158" s="11" t="s">
        <v>140</v>
      </c>
      <c r="F158" s="14">
        <v>374994.0</v>
      </c>
      <c r="G158" s="15">
        <f t="shared" si="7"/>
        <v>12</v>
      </c>
      <c r="H158" s="15"/>
      <c r="I158" s="21"/>
      <c r="J158" s="21">
        <v>1.0</v>
      </c>
      <c r="K158" s="15"/>
      <c r="L158" s="15"/>
      <c r="M158" s="15"/>
      <c r="N158" s="15"/>
      <c r="O158" s="15"/>
      <c r="P158" s="15"/>
      <c r="Q158" s="11">
        <v>2.0</v>
      </c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1">
        <v>4.0</v>
      </c>
      <c r="AJ158" s="11">
        <v>5.0</v>
      </c>
      <c r="AK158" s="15"/>
      <c r="AL158" s="17">
        <f t="shared" si="2"/>
        <v>22.13633333</v>
      </c>
      <c r="AM158" s="17">
        <f t="shared" si="3"/>
        <v>41.11033333</v>
      </c>
      <c r="AN158" s="11" t="s">
        <v>55</v>
      </c>
      <c r="AO158" s="11" t="s">
        <v>1</v>
      </c>
      <c r="AP158" s="11" t="s">
        <v>56</v>
      </c>
      <c r="AQ158" s="18">
        <v>30.14</v>
      </c>
      <c r="AR158" s="19" t="s">
        <v>224</v>
      </c>
      <c r="AS158" s="34">
        <v>44606.0</v>
      </c>
      <c r="AT158" s="18">
        <v>31.4</v>
      </c>
      <c r="AU158" s="51" t="s">
        <v>761</v>
      </c>
      <c r="AV158" s="34">
        <v>44606.0</v>
      </c>
      <c r="AW158" s="18">
        <v>33.33</v>
      </c>
      <c r="AX158" s="22" t="s">
        <v>762</v>
      </c>
      <c r="AY158" s="34">
        <v>44606.0</v>
      </c>
      <c r="AZ158" s="17">
        <f t="shared" si="8"/>
        <v>31.62333333</v>
      </c>
    </row>
    <row r="159">
      <c r="A159" s="10">
        <v>158.0</v>
      </c>
      <c r="B159" s="11">
        <v>2.1000000089E10</v>
      </c>
      <c r="C159" s="12" t="s">
        <v>763</v>
      </c>
      <c r="D159" s="13" t="s">
        <v>764</v>
      </c>
      <c r="E159" s="11" t="s">
        <v>62</v>
      </c>
      <c r="F159" s="14">
        <v>346185.0</v>
      </c>
      <c r="G159" s="15">
        <f t="shared" si="7"/>
        <v>19</v>
      </c>
      <c r="H159" s="15"/>
      <c r="I159" s="15"/>
      <c r="J159" s="15"/>
      <c r="K159" s="15"/>
      <c r="L159" s="15"/>
      <c r="M159" s="15"/>
      <c r="N159" s="11">
        <v>5.0</v>
      </c>
      <c r="O159" s="15"/>
      <c r="P159" s="11">
        <v>13.0</v>
      </c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>
        <v>1.0</v>
      </c>
      <c r="AD159" s="15"/>
      <c r="AE159" s="15"/>
      <c r="AF159" s="15"/>
      <c r="AG159" s="15"/>
      <c r="AH159" s="15"/>
      <c r="AI159" s="15"/>
      <c r="AJ159" s="15"/>
      <c r="AK159" s="11" t="s">
        <v>63</v>
      </c>
      <c r="AL159" s="17">
        <f t="shared" si="2"/>
        <v>31.32733333</v>
      </c>
      <c r="AM159" s="17">
        <f t="shared" si="3"/>
        <v>58.17933333</v>
      </c>
      <c r="AN159" s="11" t="s">
        <v>55</v>
      </c>
      <c r="AO159" s="11" t="s">
        <v>1</v>
      </c>
      <c r="AP159" s="11" t="s">
        <v>56</v>
      </c>
      <c r="AQ159" s="18">
        <v>56.25</v>
      </c>
      <c r="AR159" s="22" t="s">
        <v>765</v>
      </c>
      <c r="AS159" s="34">
        <v>44606.0</v>
      </c>
      <c r="AT159" s="18">
        <v>33.28</v>
      </c>
      <c r="AU159" s="22" t="s">
        <v>766</v>
      </c>
      <c r="AV159" s="34">
        <v>44606.0</v>
      </c>
      <c r="AW159" s="18">
        <v>44.73</v>
      </c>
      <c r="AX159" s="22" t="s">
        <v>767</v>
      </c>
      <c r="AY159" s="34">
        <v>44606.0</v>
      </c>
      <c r="AZ159" s="17">
        <f t="shared" si="8"/>
        <v>44.75333333</v>
      </c>
    </row>
    <row r="160">
      <c r="A160" s="29">
        <v>159.0</v>
      </c>
      <c r="B160" s="11">
        <v>2.1000000484E10</v>
      </c>
      <c r="C160" s="12" t="s">
        <v>768</v>
      </c>
      <c r="D160" s="67" t="s">
        <v>769</v>
      </c>
      <c r="E160" s="11" t="s">
        <v>62</v>
      </c>
      <c r="F160" s="29">
        <v>473723.0</v>
      </c>
      <c r="G160" s="15">
        <f t="shared" si="7"/>
        <v>3</v>
      </c>
      <c r="H160" s="15"/>
      <c r="I160" s="15"/>
      <c r="J160" s="15"/>
      <c r="K160" s="15"/>
      <c r="L160" s="15"/>
      <c r="M160" s="11">
        <v>3.0</v>
      </c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1" t="s">
        <v>63</v>
      </c>
      <c r="AL160" s="17">
        <f t="shared" si="2"/>
        <v>33.2115</v>
      </c>
      <c r="AM160" s="17">
        <f t="shared" si="3"/>
        <v>61.6785</v>
      </c>
      <c r="AN160" s="11" t="s">
        <v>55</v>
      </c>
      <c r="AO160" s="11" t="s">
        <v>1</v>
      </c>
      <c r="AP160" s="11" t="s">
        <v>56</v>
      </c>
      <c r="AQ160" s="18">
        <f> 59.9</f>
        <v>59.9</v>
      </c>
      <c r="AR160" s="22" t="s">
        <v>770</v>
      </c>
      <c r="AS160" s="20">
        <v>44615.0</v>
      </c>
      <c r="AT160" s="23"/>
      <c r="AU160" s="68"/>
      <c r="AV160" s="20"/>
      <c r="AW160" s="23">
        <f>34.99</f>
        <v>34.99</v>
      </c>
      <c r="AX160" s="22" t="s">
        <v>771</v>
      </c>
      <c r="AY160" s="20">
        <v>44615.0</v>
      </c>
      <c r="AZ160" s="17">
        <f t="shared" si="8"/>
        <v>47.445</v>
      </c>
    </row>
    <row r="161">
      <c r="A161" s="29">
        <v>160.0</v>
      </c>
      <c r="B161" s="11">
        <v>2.1000000485E10</v>
      </c>
      <c r="C161" s="12" t="s">
        <v>772</v>
      </c>
      <c r="D161" s="67" t="s">
        <v>773</v>
      </c>
      <c r="E161" s="11" t="s">
        <v>140</v>
      </c>
      <c r="F161" s="69">
        <v>461654.0</v>
      </c>
      <c r="G161" s="15">
        <f t="shared" si="7"/>
        <v>5</v>
      </c>
      <c r="H161" s="15"/>
      <c r="I161" s="15"/>
      <c r="J161" s="15"/>
      <c r="K161" s="15"/>
      <c r="L161" s="15"/>
      <c r="M161" s="11">
        <v>3.0</v>
      </c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1">
        <v>2.0</v>
      </c>
      <c r="AB161" s="15"/>
      <c r="AC161" s="15"/>
      <c r="AD161" s="15"/>
      <c r="AE161" s="15"/>
      <c r="AF161" s="15"/>
      <c r="AG161" s="15"/>
      <c r="AH161" s="15"/>
      <c r="AI161" s="15"/>
      <c r="AJ161" s="15"/>
      <c r="AK161" s="11" t="s">
        <v>63</v>
      </c>
      <c r="AL161" s="17">
        <f t="shared" si="2"/>
        <v>27.93933333</v>
      </c>
      <c r="AM161" s="17">
        <f t="shared" si="3"/>
        <v>51.88733333</v>
      </c>
      <c r="AN161" s="11" t="s">
        <v>55</v>
      </c>
      <c r="AO161" s="11" t="s">
        <v>1</v>
      </c>
      <c r="AP161" s="11" t="s">
        <v>56</v>
      </c>
      <c r="AQ161" s="18">
        <f>22.9*2</f>
        <v>45.8</v>
      </c>
      <c r="AR161" s="22" t="s">
        <v>774</v>
      </c>
      <c r="AS161" s="20">
        <v>44615.0</v>
      </c>
      <c r="AT161" s="18">
        <f>15.97*2</f>
        <v>31.94</v>
      </c>
      <c r="AU161" s="22" t="s">
        <v>775</v>
      </c>
      <c r="AV161" s="20">
        <v>44615.0</v>
      </c>
      <c r="AW161" s="18">
        <v>42.0</v>
      </c>
      <c r="AX161" s="22" t="s">
        <v>776</v>
      </c>
      <c r="AY161" s="20">
        <v>44615.0</v>
      </c>
      <c r="AZ161" s="17">
        <f t="shared" si="8"/>
        <v>39.91333333</v>
      </c>
    </row>
    <row r="162">
      <c r="A162" s="70">
        <v>161.0</v>
      </c>
      <c r="B162" s="71">
        <v>2.1000000207E10</v>
      </c>
      <c r="C162" s="71" t="s">
        <v>777</v>
      </c>
      <c r="D162" s="72" t="s">
        <v>778</v>
      </c>
      <c r="E162" s="71" t="s">
        <v>97</v>
      </c>
      <c r="F162" s="73">
        <v>451595.0</v>
      </c>
      <c r="G162" s="74">
        <f t="shared" si="7"/>
        <v>500</v>
      </c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1">
        <v>500.0</v>
      </c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4"/>
      <c r="AK162" s="11" t="s">
        <v>63</v>
      </c>
      <c r="AL162" s="75">
        <f t="shared" si="2"/>
        <v>0.09978033333</v>
      </c>
      <c r="AM162" s="75">
        <f t="shared" si="3"/>
        <v>0.1853063333</v>
      </c>
      <c r="AN162" s="71" t="s">
        <v>55</v>
      </c>
      <c r="AO162" s="71" t="s">
        <v>1</v>
      </c>
      <c r="AP162" s="71" t="s">
        <v>56</v>
      </c>
      <c r="AQ162" s="76">
        <f>106.97/500</f>
        <v>0.21394</v>
      </c>
      <c r="AR162" s="77" t="s">
        <v>779</v>
      </c>
      <c r="AS162" s="78">
        <v>44613.0</v>
      </c>
      <c r="AT162" s="76">
        <f>61.25/500</f>
        <v>0.1225</v>
      </c>
      <c r="AU162" s="77" t="s">
        <v>780</v>
      </c>
      <c r="AV162" s="78">
        <v>44613.0</v>
      </c>
      <c r="AW162" s="76">
        <f>91.19/1000</f>
        <v>0.09119</v>
      </c>
      <c r="AX162" s="77" t="s">
        <v>781</v>
      </c>
      <c r="AY162" s="78">
        <v>44613.0</v>
      </c>
      <c r="AZ162" s="75">
        <f t="shared" si="8"/>
        <v>0.1425433333</v>
      </c>
    </row>
    <row r="163">
      <c r="A163" s="10">
        <v>162.0</v>
      </c>
      <c r="B163" s="11">
        <v>2.1000000196E10</v>
      </c>
      <c r="C163" s="79" t="s">
        <v>782</v>
      </c>
      <c r="D163" s="13" t="s">
        <v>783</v>
      </c>
      <c r="E163" s="11" t="s">
        <v>85</v>
      </c>
      <c r="F163" s="14">
        <v>347797.0</v>
      </c>
      <c r="G163" s="15">
        <f t="shared" si="7"/>
        <v>2</v>
      </c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6">
        <v>2.0</v>
      </c>
      <c r="AJ163" s="15"/>
      <c r="AK163" s="11" t="s">
        <v>63</v>
      </c>
      <c r="AL163" s="17">
        <f t="shared" si="2"/>
        <v>36.071</v>
      </c>
      <c r="AM163" s="17">
        <f t="shared" si="3"/>
        <v>66.989</v>
      </c>
      <c r="AN163" s="11" t="s">
        <v>55</v>
      </c>
      <c r="AO163" s="11" t="s">
        <v>1</v>
      </c>
      <c r="AP163" s="11" t="s">
        <v>56</v>
      </c>
      <c r="AQ163" s="18">
        <v>39.73</v>
      </c>
      <c r="AR163" s="22" t="s">
        <v>784</v>
      </c>
      <c r="AS163" s="34">
        <v>44607.0</v>
      </c>
      <c r="AT163" s="18">
        <v>63.33</v>
      </c>
      <c r="AU163" s="19" t="s">
        <v>785</v>
      </c>
      <c r="AV163" s="34">
        <v>44607.0</v>
      </c>
      <c r="AW163" s="23"/>
      <c r="AX163" s="24"/>
      <c r="AY163" s="15"/>
      <c r="AZ163" s="17">
        <f t="shared" si="8"/>
        <v>51.53</v>
      </c>
    </row>
    <row r="164">
      <c r="A164" s="10">
        <v>163.0</v>
      </c>
      <c r="B164" s="11"/>
      <c r="C164" s="12" t="s">
        <v>786</v>
      </c>
      <c r="D164" s="13" t="s">
        <v>787</v>
      </c>
      <c r="E164" s="11" t="s">
        <v>97</v>
      </c>
      <c r="F164" s="14">
        <v>377674.0</v>
      </c>
      <c r="G164" s="11">
        <v>10.0</v>
      </c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21">
        <v>1.0</v>
      </c>
      <c r="AJ164" s="15"/>
      <c r="AK164" s="15"/>
      <c r="AL164" s="17">
        <f t="shared" si="2"/>
        <v>64.95545</v>
      </c>
      <c r="AM164" s="17">
        <f t="shared" si="3"/>
        <v>120.63155</v>
      </c>
      <c r="AN164" s="11" t="s">
        <v>120</v>
      </c>
      <c r="AO164" s="15"/>
      <c r="AP164" s="11" t="s">
        <v>56</v>
      </c>
      <c r="AQ164" s="23">
        <f>731.37/10</f>
        <v>73.137</v>
      </c>
      <c r="AR164" s="19" t="s">
        <v>788</v>
      </c>
      <c r="AS164" s="34">
        <v>44607.0</v>
      </c>
      <c r="AT164" s="23">
        <f>562.25/5</f>
        <v>112.45</v>
      </c>
      <c r="AU164" s="19" t="s">
        <v>788</v>
      </c>
      <c r="AV164" s="34">
        <v>44607.0</v>
      </c>
      <c r="AW164" s="23"/>
      <c r="AX164" s="24"/>
      <c r="AY164" s="34"/>
      <c r="AZ164" s="17">
        <f t="shared" si="8"/>
        <v>92.7935</v>
      </c>
    </row>
    <row r="165">
      <c r="A165" s="80"/>
      <c r="B165" s="54"/>
      <c r="C165" s="55" t="s">
        <v>789</v>
      </c>
      <c r="D165" s="56" t="s">
        <v>790</v>
      </c>
      <c r="E165" s="57" t="s">
        <v>62</v>
      </c>
      <c r="F165" s="58">
        <v>445402.0</v>
      </c>
      <c r="G165" s="54">
        <f t="shared" ref="G165:G178" si="10">SUM(H165:AJ165)</f>
        <v>1</v>
      </c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9">
        <v>1.0</v>
      </c>
      <c r="AB165" s="54"/>
      <c r="AC165" s="54"/>
      <c r="AD165" s="54"/>
      <c r="AE165" s="54"/>
      <c r="AF165" s="54"/>
      <c r="AG165" s="54"/>
      <c r="AH165" s="54"/>
      <c r="AI165" s="54"/>
      <c r="AJ165" s="54"/>
      <c r="AK165" s="57"/>
      <c r="AL165" s="60">
        <f t="shared" si="2"/>
        <v>591.5595</v>
      </c>
      <c r="AM165" s="60">
        <f t="shared" si="3"/>
        <v>1098.6105</v>
      </c>
      <c r="AN165" s="57" t="s">
        <v>120</v>
      </c>
      <c r="AO165" s="54"/>
      <c r="AP165" s="57" t="s">
        <v>56</v>
      </c>
      <c r="AQ165" s="64">
        <v>815.0</v>
      </c>
      <c r="AR165" s="81" t="s">
        <v>791</v>
      </c>
      <c r="AS165" s="82">
        <v>44607.0</v>
      </c>
      <c r="AT165" s="64"/>
      <c r="AU165" s="83"/>
      <c r="AV165" s="82"/>
      <c r="AW165" s="64">
        <v>875.17</v>
      </c>
      <c r="AX165" s="81" t="s">
        <v>792</v>
      </c>
      <c r="AY165" s="82">
        <v>44607.0</v>
      </c>
      <c r="AZ165" s="60">
        <f t="shared" si="8"/>
        <v>845.085</v>
      </c>
    </row>
    <row r="166">
      <c r="A166" s="84"/>
      <c r="B166" s="85"/>
      <c r="C166" s="86" t="s">
        <v>793</v>
      </c>
      <c r="D166" s="87" t="s">
        <v>794</v>
      </c>
      <c r="E166" s="85"/>
      <c r="F166" s="88">
        <v>331361.0</v>
      </c>
      <c r="G166" s="85">
        <f t="shared" si="10"/>
        <v>1</v>
      </c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9">
        <v>1.0</v>
      </c>
      <c r="X166" s="85"/>
      <c r="Y166" s="85"/>
      <c r="Z166" s="85"/>
      <c r="AA166" s="85"/>
      <c r="AB166" s="85"/>
      <c r="AC166" s="85"/>
      <c r="AD166" s="85"/>
      <c r="AE166" s="85"/>
      <c r="AF166" s="85"/>
      <c r="AG166" s="85"/>
      <c r="AH166" s="85"/>
      <c r="AI166" s="85"/>
      <c r="AJ166" s="85"/>
      <c r="AK166" s="90"/>
      <c r="AL166" s="91" t="str">
        <f t="shared" si="2"/>
        <v>#DIV/0!</v>
      </c>
      <c r="AM166" s="91" t="str">
        <f t="shared" si="3"/>
        <v>#DIV/0!</v>
      </c>
      <c r="AN166" s="90"/>
      <c r="AO166" s="90"/>
      <c r="AP166" s="92" t="s">
        <v>56</v>
      </c>
      <c r="AQ166" s="93"/>
      <c r="AR166" s="94"/>
      <c r="AS166" s="85"/>
      <c r="AT166" s="93"/>
      <c r="AU166" s="94"/>
      <c r="AV166" s="85"/>
      <c r="AW166" s="93"/>
      <c r="AX166" s="94"/>
      <c r="AY166" s="85"/>
      <c r="AZ166" s="91" t="str">
        <f t="shared" si="8"/>
        <v>#DIV/0!</v>
      </c>
    </row>
    <row r="167">
      <c r="A167" s="84"/>
      <c r="B167" s="92">
        <v>2.1000000104E10</v>
      </c>
      <c r="C167" s="86" t="s">
        <v>795</v>
      </c>
      <c r="D167" s="95" t="s">
        <v>796</v>
      </c>
      <c r="E167" s="92" t="s">
        <v>140</v>
      </c>
      <c r="F167" s="88">
        <v>331361.0</v>
      </c>
      <c r="G167" s="85">
        <f t="shared" si="10"/>
        <v>5</v>
      </c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9">
        <v>5.0</v>
      </c>
      <c r="T167" s="85"/>
      <c r="U167" s="85"/>
      <c r="V167" s="85"/>
      <c r="W167" s="85"/>
      <c r="X167" s="85"/>
      <c r="Y167" s="85"/>
      <c r="Z167" s="85"/>
      <c r="AA167" s="85"/>
      <c r="AB167" s="85"/>
      <c r="AC167" s="85"/>
      <c r="AD167" s="85"/>
      <c r="AE167" s="85"/>
      <c r="AF167" s="85"/>
      <c r="AG167" s="85"/>
      <c r="AH167" s="85"/>
      <c r="AI167" s="85"/>
      <c r="AJ167" s="85"/>
      <c r="AK167" s="90"/>
      <c r="AL167" s="91" t="str">
        <f t="shared" si="2"/>
        <v>#DIV/0!</v>
      </c>
      <c r="AM167" s="91" t="str">
        <f t="shared" si="3"/>
        <v>#DIV/0!</v>
      </c>
      <c r="AN167" s="90"/>
      <c r="AO167" s="90"/>
      <c r="AP167" s="92" t="s">
        <v>56</v>
      </c>
      <c r="AQ167" s="93"/>
      <c r="AR167" s="94"/>
      <c r="AS167" s="85"/>
      <c r="AT167" s="93"/>
      <c r="AU167" s="94"/>
      <c r="AV167" s="85"/>
      <c r="AW167" s="93"/>
      <c r="AX167" s="94"/>
      <c r="AY167" s="85"/>
      <c r="AZ167" s="91" t="str">
        <f t="shared" si="8"/>
        <v>#DIV/0!</v>
      </c>
    </row>
    <row r="168">
      <c r="A168" s="80"/>
      <c r="B168" s="57"/>
      <c r="C168" s="96" t="s">
        <v>797</v>
      </c>
      <c r="D168" s="56" t="s">
        <v>798</v>
      </c>
      <c r="E168" s="57" t="s">
        <v>140</v>
      </c>
      <c r="F168" s="58">
        <v>353893.0</v>
      </c>
      <c r="G168" s="54">
        <f t="shared" si="10"/>
        <v>4</v>
      </c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9">
        <v>4.0</v>
      </c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60">
        <f t="shared" si="2"/>
        <v>225.4</v>
      </c>
      <c r="AM168" s="60">
        <f t="shared" si="3"/>
        <v>418.6</v>
      </c>
      <c r="AN168" s="57" t="s">
        <v>120</v>
      </c>
      <c r="AO168" s="54"/>
      <c r="AP168" s="57" t="s">
        <v>56</v>
      </c>
      <c r="AQ168" s="64">
        <v>322.0</v>
      </c>
      <c r="AR168" s="81" t="s">
        <v>799</v>
      </c>
      <c r="AS168" s="82">
        <v>44623.0</v>
      </c>
      <c r="AT168" s="65"/>
      <c r="AU168" s="66"/>
      <c r="AV168" s="54"/>
      <c r="AW168" s="65"/>
      <c r="AX168" s="66"/>
      <c r="AY168" s="54"/>
      <c r="AZ168" s="60">
        <f t="shared" si="8"/>
        <v>322</v>
      </c>
    </row>
    <row r="169">
      <c r="A169" s="53"/>
      <c r="B169" s="54"/>
      <c r="C169" s="55" t="s">
        <v>800</v>
      </c>
      <c r="D169" s="56" t="s">
        <v>801</v>
      </c>
      <c r="E169" s="57" t="s">
        <v>140</v>
      </c>
      <c r="F169" s="58">
        <v>419337.0</v>
      </c>
      <c r="G169" s="54">
        <f t="shared" si="10"/>
        <v>2</v>
      </c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9">
        <v>2.0</v>
      </c>
      <c r="AF169" s="54"/>
      <c r="AG169" s="54"/>
      <c r="AH169" s="54"/>
      <c r="AI169" s="54"/>
      <c r="AJ169" s="54"/>
      <c r="AK169" s="57"/>
      <c r="AL169" s="60">
        <f t="shared" si="2"/>
        <v>127.8375</v>
      </c>
      <c r="AM169" s="60">
        <f t="shared" si="3"/>
        <v>237.4125</v>
      </c>
      <c r="AN169" s="57" t="s">
        <v>120</v>
      </c>
      <c r="AO169" s="54"/>
      <c r="AP169" s="57" t="s">
        <v>56</v>
      </c>
      <c r="AQ169" s="64">
        <v>123.0</v>
      </c>
      <c r="AR169" s="81" t="s">
        <v>802</v>
      </c>
      <c r="AS169" s="82">
        <v>44607.0</v>
      </c>
      <c r="AT169" s="64">
        <v>242.25</v>
      </c>
      <c r="AU169" s="81" t="s">
        <v>803</v>
      </c>
      <c r="AV169" s="82">
        <v>44607.0</v>
      </c>
      <c r="AW169" s="65"/>
      <c r="AX169" s="66"/>
      <c r="AY169" s="54"/>
      <c r="AZ169" s="60">
        <f t="shared" si="8"/>
        <v>182.625</v>
      </c>
    </row>
    <row r="170">
      <c r="A170" s="80"/>
      <c r="B170" s="54"/>
      <c r="C170" s="55" t="s">
        <v>804</v>
      </c>
      <c r="D170" s="97" t="s">
        <v>805</v>
      </c>
      <c r="E170" s="57" t="s">
        <v>140</v>
      </c>
      <c r="F170" s="58">
        <v>437544.0</v>
      </c>
      <c r="G170" s="54">
        <f t="shared" si="10"/>
        <v>5</v>
      </c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9">
        <v>5.0</v>
      </c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60" t="str">
        <f t="shared" si="2"/>
        <v>#DIV/0!</v>
      </c>
      <c r="AM170" s="60" t="str">
        <f t="shared" si="3"/>
        <v>#DIV/0!</v>
      </c>
      <c r="AN170" s="54"/>
      <c r="AO170" s="54"/>
      <c r="AP170" s="57" t="s">
        <v>56</v>
      </c>
      <c r="AQ170" s="65"/>
      <c r="AR170" s="66"/>
      <c r="AS170" s="54"/>
      <c r="AT170" s="65"/>
      <c r="AU170" s="66"/>
      <c r="AV170" s="54"/>
      <c r="AW170" s="65"/>
      <c r="AX170" s="66"/>
      <c r="AY170" s="54"/>
      <c r="AZ170" s="60" t="str">
        <f t="shared" si="8"/>
        <v>#DIV/0!</v>
      </c>
    </row>
    <row r="171">
      <c r="A171" s="80"/>
      <c r="B171" s="54"/>
      <c r="C171" s="55" t="s">
        <v>806</v>
      </c>
      <c r="D171" s="97" t="s">
        <v>807</v>
      </c>
      <c r="E171" s="57" t="s">
        <v>140</v>
      </c>
      <c r="F171" s="58">
        <v>447817.0</v>
      </c>
      <c r="G171" s="54">
        <f t="shared" si="10"/>
        <v>2</v>
      </c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9">
        <v>2.0</v>
      </c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60" t="str">
        <f t="shared" si="2"/>
        <v>#DIV/0!</v>
      </c>
      <c r="AM171" s="60" t="str">
        <f t="shared" si="3"/>
        <v>#DIV/0!</v>
      </c>
      <c r="AN171" s="54"/>
      <c r="AO171" s="54"/>
      <c r="AP171" s="57" t="s">
        <v>56</v>
      </c>
      <c r="AQ171" s="65"/>
      <c r="AR171" s="66"/>
      <c r="AS171" s="54"/>
      <c r="AT171" s="65"/>
      <c r="AU171" s="66"/>
      <c r="AV171" s="54"/>
      <c r="AW171" s="65"/>
      <c r="AX171" s="66"/>
      <c r="AY171" s="54"/>
      <c r="AZ171" s="60" t="str">
        <f t="shared" si="8"/>
        <v>#DIV/0!</v>
      </c>
    </row>
    <row r="172">
      <c r="A172" s="80"/>
      <c r="B172" s="54"/>
      <c r="C172" s="55" t="s">
        <v>808</v>
      </c>
      <c r="D172" s="97" t="s">
        <v>809</v>
      </c>
      <c r="E172" s="57" t="s">
        <v>140</v>
      </c>
      <c r="F172" s="58">
        <v>447817.0</v>
      </c>
      <c r="G172" s="54">
        <f t="shared" si="10"/>
        <v>1</v>
      </c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9">
        <v>1.0</v>
      </c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60" t="str">
        <f t="shared" si="2"/>
        <v>#DIV/0!</v>
      </c>
      <c r="AM172" s="60" t="str">
        <f t="shared" si="3"/>
        <v>#DIV/0!</v>
      </c>
      <c r="AN172" s="54"/>
      <c r="AO172" s="54"/>
      <c r="AP172" s="57" t="s">
        <v>56</v>
      </c>
      <c r="AQ172" s="65"/>
      <c r="AR172" s="66"/>
      <c r="AS172" s="54"/>
      <c r="AT172" s="65"/>
      <c r="AU172" s="66"/>
      <c r="AV172" s="54"/>
      <c r="AW172" s="65"/>
      <c r="AX172" s="66"/>
      <c r="AY172" s="54"/>
      <c r="AZ172" s="60" t="str">
        <f t="shared" si="8"/>
        <v>#DIV/0!</v>
      </c>
    </row>
    <row r="173">
      <c r="A173" s="80"/>
      <c r="B173" s="54"/>
      <c r="C173" s="55" t="s">
        <v>810</v>
      </c>
      <c r="D173" s="56" t="s">
        <v>811</v>
      </c>
      <c r="E173" s="57" t="s">
        <v>140</v>
      </c>
      <c r="F173" s="58">
        <v>460745.0</v>
      </c>
      <c r="G173" s="54">
        <f t="shared" si="10"/>
        <v>1</v>
      </c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9"/>
      <c r="U173" s="59">
        <v>1.0</v>
      </c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7"/>
      <c r="AL173" s="60">
        <f t="shared" si="2"/>
        <v>400.4</v>
      </c>
      <c r="AM173" s="60">
        <f t="shared" si="3"/>
        <v>743.6</v>
      </c>
      <c r="AN173" s="57"/>
      <c r="AO173" s="54"/>
      <c r="AP173" s="57" t="s">
        <v>56</v>
      </c>
      <c r="AQ173" s="64">
        <v>572.0</v>
      </c>
      <c r="AR173" s="81" t="s">
        <v>812</v>
      </c>
      <c r="AS173" s="82">
        <v>44613.0</v>
      </c>
      <c r="AT173" s="65"/>
      <c r="AU173" s="66"/>
      <c r="AV173" s="54"/>
      <c r="AW173" s="65"/>
      <c r="AX173" s="66"/>
      <c r="AY173" s="54"/>
      <c r="AZ173" s="60">
        <f t="shared" si="8"/>
        <v>572</v>
      </c>
    </row>
    <row r="174">
      <c r="A174" s="80"/>
      <c r="B174" s="57">
        <v>2.1000000291E10</v>
      </c>
      <c r="C174" s="55" t="s">
        <v>813</v>
      </c>
      <c r="D174" s="56" t="s">
        <v>814</v>
      </c>
      <c r="E174" s="57" t="s">
        <v>815</v>
      </c>
      <c r="F174" s="58">
        <v>227714.0</v>
      </c>
      <c r="G174" s="54">
        <f t="shared" si="10"/>
        <v>2</v>
      </c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9">
        <v>2.0</v>
      </c>
      <c r="AI174" s="54"/>
      <c r="AJ174" s="54"/>
      <c r="AK174" s="54"/>
      <c r="AL174" s="60">
        <f t="shared" si="2"/>
        <v>93.702</v>
      </c>
      <c r="AM174" s="60">
        <f t="shared" si="3"/>
        <v>174.018</v>
      </c>
      <c r="AN174" s="57" t="s">
        <v>120</v>
      </c>
      <c r="AO174" s="54"/>
      <c r="AP174" s="57" t="s">
        <v>56</v>
      </c>
      <c r="AQ174" s="64">
        <v>133.86</v>
      </c>
      <c r="AR174" s="62" t="s">
        <v>816</v>
      </c>
      <c r="AS174" s="63">
        <v>44607.0</v>
      </c>
      <c r="AT174" s="65"/>
      <c r="AU174" s="66"/>
      <c r="AV174" s="54"/>
      <c r="AW174" s="65"/>
      <c r="AX174" s="66"/>
      <c r="AY174" s="54"/>
      <c r="AZ174" s="60">
        <f t="shared" si="8"/>
        <v>133.86</v>
      </c>
    </row>
    <row r="175">
      <c r="A175" s="80"/>
      <c r="B175" s="54"/>
      <c r="C175" s="55" t="s">
        <v>817</v>
      </c>
      <c r="D175" s="97" t="s">
        <v>818</v>
      </c>
      <c r="E175" s="57" t="s">
        <v>140</v>
      </c>
      <c r="F175" s="58">
        <v>471906.0</v>
      </c>
      <c r="G175" s="54">
        <f t="shared" si="10"/>
        <v>1</v>
      </c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9">
        <v>1.0</v>
      </c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60">
        <f t="shared" si="2"/>
        <v>605.5</v>
      </c>
      <c r="AM175" s="60">
        <f t="shared" si="3"/>
        <v>1124.5</v>
      </c>
      <c r="AN175" s="54"/>
      <c r="AO175" s="54"/>
      <c r="AP175" s="57" t="s">
        <v>56</v>
      </c>
      <c r="AQ175" s="64">
        <v>865.0</v>
      </c>
      <c r="AR175" s="81" t="s">
        <v>819</v>
      </c>
      <c r="AS175" s="82">
        <v>44623.0</v>
      </c>
      <c r="AT175" s="65"/>
      <c r="AU175" s="66"/>
      <c r="AV175" s="54"/>
      <c r="AW175" s="65"/>
      <c r="AX175" s="66"/>
      <c r="AY175" s="54"/>
      <c r="AZ175" s="60">
        <f t="shared" si="8"/>
        <v>865</v>
      </c>
    </row>
    <row r="176">
      <c r="A176" s="80"/>
      <c r="B176" s="54"/>
      <c r="C176" s="55" t="s">
        <v>820</v>
      </c>
      <c r="D176" s="97" t="s">
        <v>821</v>
      </c>
      <c r="E176" s="57" t="s">
        <v>140</v>
      </c>
      <c r="F176" s="58">
        <v>437529.0</v>
      </c>
      <c r="G176" s="54">
        <f t="shared" si="10"/>
        <v>1</v>
      </c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9">
        <v>1.0</v>
      </c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60">
        <f t="shared" si="2"/>
        <v>605.5</v>
      </c>
      <c r="AM176" s="60">
        <f t="shared" si="3"/>
        <v>1124.5</v>
      </c>
      <c r="AN176" s="54"/>
      <c r="AO176" s="54"/>
      <c r="AP176" s="57" t="s">
        <v>56</v>
      </c>
      <c r="AQ176" s="64">
        <v>865.0</v>
      </c>
      <c r="AR176" s="81" t="s">
        <v>822</v>
      </c>
      <c r="AS176" s="82">
        <v>44623.0</v>
      </c>
      <c r="AT176" s="65"/>
      <c r="AU176" s="66"/>
      <c r="AV176" s="54"/>
      <c r="AW176" s="65"/>
      <c r="AX176" s="66"/>
      <c r="AY176" s="54"/>
      <c r="AZ176" s="60">
        <f t="shared" si="8"/>
        <v>865</v>
      </c>
    </row>
    <row r="177">
      <c r="A177" s="80"/>
      <c r="B177" s="54"/>
      <c r="C177" s="55" t="s">
        <v>823</v>
      </c>
      <c r="D177" s="56" t="s">
        <v>824</v>
      </c>
      <c r="E177" s="57" t="s">
        <v>140</v>
      </c>
      <c r="F177" s="58">
        <v>437529.0</v>
      </c>
      <c r="G177" s="54">
        <f t="shared" si="10"/>
        <v>1</v>
      </c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9">
        <v>1.0</v>
      </c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60">
        <f t="shared" si="2"/>
        <v>389.2</v>
      </c>
      <c r="AM177" s="60">
        <f t="shared" si="3"/>
        <v>722.8</v>
      </c>
      <c r="AN177" s="54"/>
      <c r="AO177" s="54"/>
      <c r="AP177" s="57" t="s">
        <v>56</v>
      </c>
      <c r="AQ177" s="64">
        <v>556.0</v>
      </c>
      <c r="AR177" s="81" t="s">
        <v>825</v>
      </c>
      <c r="AS177" s="82">
        <v>44623.0</v>
      </c>
      <c r="AT177" s="65"/>
      <c r="AU177" s="66"/>
      <c r="AV177" s="54"/>
      <c r="AW177" s="65"/>
      <c r="AX177" s="66"/>
      <c r="AY177" s="54"/>
      <c r="AZ177" s="60">
        <f t="shared" si="8"/>
        <v>556</v>
      </c>
    </row>
    <row r="178">
      <c r="A178" s="80"/>
      <c r="B178" s="54"/>
      <c r="C178" s="55" t="s">
        <v>826</v>
      </c>
      <c r="D178" s="56" t="s">
        <v>827</v>
      </c>
      <c r="E178" s="57" t="s">
        <v>140</v>
      </c>
      <c r="F178" s="58">
        <v>419368.0</v>
      </c>
      <c r="G178" s="54">
        <f t="shared" si="10"/>
        <v>1</v>
      </c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9"/>
      <c r="U178" s="59">
        <v>1.0</v>
      </c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60" t="str">
        <f t="shared" si="2"/>
        <v>#DIV/0!</v>
      </c>
      <c r="AM178" s="60" t="str">
        <f t="shared" si="3"/>
        <v>#DIV/0!</v>
      </c>
      <c r="AN178" s="54"/>
      <c r="AO178" s="54"/>
      <c r="AP178" s="57" t="s">
        <v>56</v>
      </c>
      <c r="AQ178" s="65"/>
      <c r="AR178" s="81" t="s">
        <v>828</v>
      </c>
      <c r="AS178" s="82">
        <v>44623.0</v>
      </c>
      <c r="AT178" s="65"/>
      <c r="AU178" s="81" t="s">
        <v>829</v>
      </c>
      <c r="AV178" s="82">
        <v>44623.0</v>
      </c>
      <c r="AW178" s="65"/>
      <c r="AX178" s="66"/>
      <c r="AY178" s="54"/>
      <c r="AZ178" s="60" t="str">
        <f t="shared" si="8"/>
        <v>#DIV/0!</v>
      </c>
    </row>
    <row r="179">
      <c r="B179" s="98"/>
      <c r="C179" s="99"/>
      <c r="D179" s="100"/>
      <c r="E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  <c r="AA179" s="98"/>
      <c r="AB179" s="98"/>
      <c r="AC179" s="98"/>
      <c r="AD179" s="98"/>
      <c r="AE179" s="98"/>
      <c r="AF179" s="98"/>
      <c r="AG179" s="98"/>
      <c r="AH179" s="98"/>
      <c r="AI179" s="98"/>
      <c r="AJ179" s="98"/>
      <c r="AK179" s="98"/>
      <c r="AL179" s="101"/>
      <c r="AM179" s="101"/>
      <c r="AN179" s="98"/>
      <c r="AO179" s="98"/>
      <c r="AP179" s="98"/>
      <c r="AQ179" s="102"/>
      <c r="AR179" s="103"/>
      <c r="AS179" s="98"/>
      <c r="AT179" s="102"/>
      <c r="AU179" s="103"/>
      <c r="AV179" s="98"/>
      <c r="AW179" s="102"/>
      <c r="AX179" s="103"/>
      <c r="AY179" s="98"/>
      <c r="AZ179" s="101"/>
    </row>
    <row r="180">
      <c r="B180" s="98"/>
      <c r="C180" s="99"/>
      <c r="D180" s="100"/>
      <c r="E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  <c r="W180" s="98"/>
      <c r="X180" s="98"/>
      <c r="Y180" s="98"/>
      <c r="Z180" s="98"/>
      <c r="AA180" s="98"/>
      <c r="AB180" s="98"/>
      <c r="AC180" s="98"/>
      <c r="AD180" s="98"/>
      <c r="AE180" s="98"/>
      <c r="AF180" s="98"/>
      <c r="AG180" s="98"/>
      <c r="AH180" s="98"/>
      <c r="AI180" s="98"/>
      <c r="AJ180" s="98"/>
      <c r="AK180" s="98"/>
      <c r="AL180" s="101"/>
      <c r="AM180" s="101"/>
      <c r="AN180" s="98"/>
      <c r="AO180" s="98"/>
      <c r="AP180" s="98"/>
      <c r="AQ180" s="102"/>
      <c r="AR180" s="103"/>
      <c r="AS180" s="98"/>
      <c r="AT180" s="102"/>
      <c r="AU180" s="103"/>
      <c r="AV180" s="98"/>
      <c r="AW180" s="102"/>
      <c r="AX180" s="103"/>
      <c r="AY180" s="98"/>
      <c r="AZ180" s="101"/>
    </row>
    <row r="181">
      <c r="B181" s="98"/>
      <c r="C181" s="99"/>
      <c r="D181" s="100"/>
      <c r="E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  <c r="AA181" s="98"/>
      <c r="AB181" s="98"/>
      <c r="AC181" s="98"/>
      <c r="AD181" s="98"/>
      <c r="AE181" s="98"/>
      <c r="AF181" s="98"/>
      <c r="AG181" s="98"/>
      <c r="AH181" s="98"/>
      <c r="AI181" s="98"/>
      <c r="AJ181" s="98"/>
      <c r="AK181" s="98"/>
      <c r="AL181" s="101"/>
      <c r="AM181" s="101"/>
      <c r="AN181" s="98"/>
      <c r="AO181" s="98"/>
      <c r="AP181" s="98"/>
      <c r="AQ181" s="102"/>
      <c r="AR181" s="103"/>
      <c r="AS181" s="98"/>
      <c r="AT181" s="102"/>
      <c r="AU181" s="103"/>
      <c r="AV181" s="98"/>
      <c r="AW181" s="102"/>
      <c r="AX181" s="103"/>
      <c r="AY181" s="98"/>
      <c r="AZ181" s="101"/>
    </row>
    <row r="182">
      <c r="B182" s="98"/>
      <c r="C182" s="99"/>
      <c r="D182" s="100"/>
      <c r="E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  <c r="Z182" s="98"/>
      <c r="AA182" s="98"/>
      <c r="AB182" s="98"/>
      <c r="AC182" s="98"/>
      <c r="AD182" s="98"/>
      <c r="AE182" s="98"/>
      <c r="AF182" s="98"/>
      <c r="AG182" s="98"/>
      <c r="AH182" s="98"/>
      <c r="AI182" s="98"/>
      <c r="AJ182" s="98"/>
      <c r="AK182" s="98"/>
      <c r="AL182" s="101"/>
      <c r="AM182" s="101"/>
      <c r="AN182" s="98"/>
      <c r="AO182" s="98"/>
      <c r="AP182" s="98"/>
      <c r="AQ182" s="102"/>
      <c r="AR182" s="103"/>
      <c r="AS182" s="98"/>
      <c r="AT182" s="102"/>
      <c r="AU182" s="103"/>
      <c r="AV182" s="98"/>
      <c r="AW182" s="102"/>
      <c r="AX182" s="103"/>
      <c r="AY182" s="98"/>
      <c r="AZ182" s="101"/>
    </row>
    <row r="183">
      <c r="B183" s="98"/>
      <c r="C183" s="99"/>
      <c r="D183" s="100"/>
      <c r="E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  <c r="Z183" s="98"/>
      <c r="AA183" s="98"/>
      <c r="AB183" s="98"/>
      <c r="AC183" s="98"/>
      <c r="AD183" s="98"/>
      <c r="AE183" s="98"/>
      <c r="AF183" s="98"/>
      <c r="AG183" s="98"/>
      <c r="AH183" s="98"/>
      <c r="AI183" s="98"/>
      <c r="AJ183" s="98"/>
      <c r="AK183" s="98"/>
      <c r="AL183" s="101"/>
      <c r="AM183" s="101"/>
      <c r="AN183" s="98"/>
      <c r="AO183" s="98"/>
      <c r="AP183" s="98"/>
      <c r="AQ183" s="102"/>
      <c r="AR183" s="103"/>
      <c r="AS183" s="98"/>
      <c r="AT183" s="102"/>
      <c r="AU183" s="103"/>
      <c r="AV183" s="98"/>
      <c r="AW183" s="102"/>
      <c r="AX183" s="103"/>
      <c r="AY183" s="98"/>
      <c r="AZ183" s="101"/>
    </row>
    <row r="184">
      <c r="B184" s="98"/>
      <c r="C184" s="99"/>
      <c r="D184" s="100"/>
      <c r="E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  <c r="W184" s="98"/>
      <c r="X184" s="98"/>
      <c r="Y184" s="98"/>
      <c r="Z184" s="98"/>
      <c r="AA184" s="98"/>
      <c r="AB184" s="98"/>
      <c r="AC184" s="98"/>
      <c r="AD184" s="98"/>
      <c r="AE184" s="98"/>
      <c r="AF184" s="98"/>
      <c r="AG184" s="98"/>
      <c r="AH184" s="98"/>
      <c r="AI184" s="98"/>
      <c r="AJ184" s="98"/>
      <c r="AK184" s="98"/>
      <c r="AL184" s="101"/>
      <c r="AM184" s="101"/>
      <c r="AN184" s="98"/>
      <c r="AO184" s="98"/>
      <c r="AP184" s="98"/>
      <c r="AQ184" s="102"/>
      <c r="AR184" s="103"/>
      <c r="AS184" s="98"/>
      <c r="AT184" s="102"/>
      <c r="AU184" s="103"/>
      <c r="AV184" s="98"/>
      <c r="AW184" s="102"/>
      <c r="AX184" s="103"/>
      <c r="AY184" s="98"/>
      <c r="AZ184" s="101"/>
    </row>
    <row r="185">
      <c r="B185" s="98"/>
      <c r="C185" s="99"/>
      <c r="D185" s="100"/>
      <c r="E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  <c r="Z185" s="98"/>
      <c r="AA185" s="98"/>
      <c r="AB185" s="98"/>
      <c r="AC185" s="98"/>
      <c r="AD185" s="98"/>
      <c r="AE185" s="98"/>
      <c r="AF185" s="98"/>
      <c r="AG185" s="98"/>
      <c r="AH185" s="98"/>
      <c r="AI185" s="98"/>
      <c r="AJ185" s="98"/>
      <c r="AK185" s="98"/>
      <c r="AL185" s="101"/>
      <c r="AM185" s="101"/>
      <c r="AN185" s="98"/>
      <c r="AO185" s="98"/>
      <c r="AP185" s="98"/>
      <c r="AQ185" s="102"/>
      <c r="AR185" s="103"/>
      <c r="AS185" s="98"/>
      <c r="AT185" s="102"/>
      <c r="AU185" s="103"/>
      <c r="AV185" s="98"/>
      <c r="AW185" s="102"/>
      <c r="AX185" s="103"/>
      <c r="AY185" s="98"/>
      <c r="AZ185" s="101"/>
    </row>
    <row r="186">
      <c r="B186" s="98"/>
      <c r="C186" s="99"/>
      <c r="D186" s="100"/>
      <c r="E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  <c r="W186" s="98"/>
      <c r="X186" s="98"/>
      <c r="Y186" s="98"/>
      <c r="Z186" s="98"/>
      <c r="AA186" s="98"/>
      <c r="AB186" s="98"/>
      <c r="AC186" s="98"/>
      <c r="AD186" s="98"/>
      <c r="AE186" s="98"/>
      <c r="AF186" s="98"/>
      <c r="AG186" s="98"/>
      <c r="AH186" s="98"/>
      <c r="AI186" s="98"/>
      <c r="AJ186" s="98"/>
      <c r="AK186" s="98"/>
      <c r="AL186" s="101"/>
      <c r="AM186" s="101"/>
      <c r="AN186" s="98"/>
      <c r="AO186" s="98"/>
      <c r="AP186" s="98"/>
      <c r="AQ186" s="102"/>
      <c r="AR186" s="103"/>
      <c r="AS186" s="98"/>
      <c r="AT186" s="102"/>
      <c r="AU186" s="103"/>
      <c r="AV186" s="98"/>
      <c r="AW186" s="102"/>
      <c r="AX186" s="103"/>
      <c r="AY186" s="98"/>
      <c r="AZ186" s="101"/>
    </row>
  </sheetData>
  <customSheetViews>
    <customSheetView guid="{B2A60AB4-B4C4-47B1-8BF0-88974FD9676E}" filter="1" showAutoFilter="1">
      <autoFilter ref="$A$1:$AZ$186">
        <filterColumn colId="21">
          <filters>
            <filter val="1"/>
            <filter val="2"/>
            <filter val="3"/>
            <filter val="4"/>
            <filter val="500"/>
            <filter val="5"/>
          </filters>
        </filterColumn>
      </autoFilter>
    </customSheetView>
    <customSheetView guid="{DA8D3EC8-8EE0-4682-8C54-56EE6796B5ED}" filter="1" showAutoFilter="1">
      <autoFilter ref="$A$1:$AO$177"/>
    </customSheetView>
  </customSheetViews>
  <dataValidations>
    <dataValidation type="list" allowBlank="1" sqref="AO2:AO178">
      <formula1>"SIPAC"</formula1>
    </dataValidation>
    <dataValidation type="list" allowBlank="1" sqref="AN2:AN178">
      <formula1>"SIM,NÃO"</formula1>
    </dataValidation>
  </dataValidations>
  <hyperlinks>
    <hyperlink r:id="rId1" ref="AR2"/>
    <hyperlink r:id="rId2" ref="AU2"/>
    <hyperlink r:id="rId3" ref="AX2"/>
    <hyperlink r:id="rId4" ref="AR3"/>
    <hyperlink r:id="rId5" ref="AU3"/>
    <hyperlink r:id="rId6" ref="AR5"/>
    <hyperlink r:id="rId7" ref="AR6"/>
    <hyperlink r:id="rId8" ref="AU6"/>
    <hyperlink r:id="rId9" ref="AX6"/>
    <hyperlink r:id="rId10" ref="AR7"/>
    <hyperlink r:id="rId11" ref="AR8"/>
    <hyperlink r:id="rId12" ref="AR9"/>
    <hyperlink r:id="rId13" ref="AR10"/>
    <hyperlink r:id="rId14" ref="AR11"/>
    <hyperlink r:id="rId15" ref="AU11"/>
    <hyperlink r:id="rId16" ref="AX11"/>
    <hyperlink r:id="rId17" ref="AR12"/>
    <hyperlink r:id="rId18" ref="AU12"/>
    <hyperlink r:id="rId19" ref="AX12"/>
    <hyperlink r:id="rId20" ref="AR13"/>
    <hyperlink r:id="rId21" ref="AU13"/>
    <hyperlink r:id="rId22" ref="AX13"/>
    <hyperlink r:id="rId23" ref="AR14"/>
    <hyperlink r:id="rId24" ref="AR15"/>
    <hyperlink r:id="rId25" ref="AU15"/>
    <hyperlink r:id="rId26" ref="AX15"/>
    <hyperlink r:id="rId27" ref="AR16"/>
    <hyperlink r:id="rId28" ref="AR17"/>
    <hyperlink r:id="rId29" ref="AU17"/>
    <hyperlink r:id="rId30" ref="AX17"/>
    <hyperlink r:id="rId31" ref="AU20"/>
    <hyperlink r:id="rId32" ref="AX20"/>
    <hyperlink r:id="rId33" ref="AR21"/>
    <hyperlink r:id="rId34" ref="AU21"/>
    <hyperlink r:id="rId35" ref="AX21"/>
    <hyperlink r:id="rId36" ref="AR22"/>
    <hyperlink r:id="rId37" ref="AU22"/>
    <hyperlink r:id="rId38" ref="AX22"/>
    <hyperlink r:id="rId39" ref="AR23"/>
    <hyperlink r:id="rId40" ref="AU23"/>
    <hyperlink r:id="rId41" ref="AX23"/>
    <hyperlink r:id="rId42" location="descricao_produto" ref="AR24"/>
    <hyperlink r:id="rId43" ref="AU24"/>
    <hyperlink r:id="rId44" ref="AX24"/>
    <hyperlink r:id="rId45" ref="AR25"/>
    <hyperlink r:id="rId46" ref="AU25"/>
    <hyperlink r:id="rId47" ref="AX25"/>
    <hyperlink r:id="rId48" ref="AR26"/>
    <hyperlink r:id="rId49" ref="AU26"/>
    <hyperlink r:id="rId50" ref="AX26"/>
    <hyperlink r:id="rId51" ref="AR28"/>
    <hyperlink r:id="rId52" ref="AU28"/>
    <hyperlink r:id="rId53" ref="AX28"/>
    <hyperlink r:id="rId54" ref="AR29"/>
    <hyperlink r:id="rId55" ref="AU29"/>
    <hyperlink r:id="rId56" ref="AX29"/>
    <hyperlink r:id="rId57" ref="AR30"/>
    <hyperlink r:id="rId58" ref="AU30"/>
    <hyperlink r:id="rId59" ref="AX30"/>
    <hyperlink r:id="rId60" ref="AR31"/>
    <hyperlink r:id="rId61" ref="AU31"/>
    <hyperlink r:id="rId62" ref="AX31"/>
    <hyperlink r:id="rId63" ref="AR33"/>
    <hyperlink r:id="rId64" ref="AU33"/>
    <hyperlink r:id="rId65" ref="AX33"/>
    <hyperlink r:id="rId66" ref="AR34"/>
    <hyperlink r:id="rId67" ref="AU34"/>
    <hyperlink r:id="rId68" ref="AX34"/>
    <hyperlink r:id="rId69" ref="AR35"/>
    <hyperlink r:id="rId70" ref="AU35"/>
    <hyperlink r:id="rId71" ref="AX35"/>
    <hyperlink r:id="rId72" ref="AR36"/>
    <hyperlink r:id="rId73" ref="AU36"/>
    <hyperlink r:id="rId74" ref="AX36"/>
    <hyperlink r:id="rId75" ref="AR37"/>
    <hyperlink r:id="rId76" ref="AU37"/>
    <hyperlink r:id="rId77" ref="AX37"/>
    <hyperlink r:id="rId78" ref="AR38"/>
    <hyperlink r:id="rId79" ref="AU38"/>
    <hyperlink r:id="rId80" ref="AX38"/>
    <hyperlink r:id="rId81" ref="AR39"/>
    <hyperlink r:id="rId82" ref="AU39"/>
    <hyperlink r:id="rId83" ref="AX39"/>
    <hyperlink r:id="rId84" ref="AR40"/>
    <hyperlink r:id="rId85" ref="AU40"/>
    <hyperlink r:id="rId86" ref="AX40"/>
    <hyperlink r:id="rId87" ref="AR41"/>
    <hyperlink r:id="rId88" ref="AU41"/>
    <hyperlink r:id="rId89" ref="AX41"/>
    <hyperlink r:id="rId90" ref="AR42"/>
    <hyperlink r:id="rId91" ref="AR43"/>
    <hyperlink r:id="rId92" ref="AU43"/>
    <hyperlink r:id="rId93" ref="AX43"/>
    <hyperlink r:id="rId94" ref="AR44"/>
    <hyperlink r:id="rId95" ref="AU44"/>
    <hyperlink r:id="rId96" ref="AX44"/>
    <hyperlink r:id="rId97" ref="AR46"/>
    <hyperlink r:id="rId98" ref="AU46"/>
    <hyperlink r:id="rId99" ref="AX46"/>
    <hyperlink r:id="rId100" ref="AR47"/>
    <hyperlink r:id="rId101" ref="AU47"/>
    <hyperlink r:id="rId102" ref="AX47"/>
    <hyperlink r:id="rId103" ref="AR48"/>
    <hyperlink r:id="rId104" ref="AU48"/>
    <hyperlink r:id="rId105" ref="AX48"/>
    <hyperlink r:id="rId106" ref="AR49"/>
    <hyperlink r:id="rId107" ref="AU49"/>
    <hyperlink r:id="rId108" ref="AX49"/>
    <hyperlink r:id="rId109" ref="AR50"/>
    <hyperlink r:id="rId110" ref="AU50"/>
    <hyperlink r:id="rId111" ref="AX50"/>
    <hyperlink r:id="rId112" ref="AR51"/>
    <hyperlink r:id="rId113" ref="AU51"/>
    <hyperlink r:id="rId114" ref="AR52"/>
    <hyperlink r:id="rId115" ref="AU52"/>
    <hyperlink r:id="rId116" ref="AX52"/>
    <hyperlink r:id="rId117" ref="AR53"/>
    <hyperlink r:id="rId118" ref="AR54"/>
    <hyperlink r:id="rId119" ref="AU54"/>
    <hyperlink r:id="rId120" ref="AX54"/>
    <hyperlink r:id="rId121" ref="AR55"/>
    <hyperlink r:id="rId122" ref="AU55"/>
    <hyperlink r:id="rId123" ref="AX55"/>
    <hyperlink r:id="rId124" ref="AR56"/>
    <hyperlink r:id="rId125" ref="AU56"/>
    <hyperlink r:id="rId126" ref="AX56"/>
    <hyperlink r:id="rId127" ref="AR57"/>
    <hyperlink r:id="rId128" ref="AU57"/>
    <hyperlink r:id="rId129" ref="AX57"/>
    <hyperlink r:id="rId130" ref="AR59"/>
    <hyperlink r:id="rId131" ref="AU59"/>
    <hyperlink r:id="rId132" ref="AX59"/>
    <hyperlink r:id="rId133" ref="AR60"/>
    <hyperlink r:id="rId134" ref="AU60"/>
    <hyperlink r:id="rId135" ref="AX60"/>
    <hyperlink r:id="rId136" ref="AR61"/>
    <hyperlink r:id="rId137" ref="AU61"/>
    <hyperlink r:id="rId138" ref="AX61"/>
    <hyperlink r:id="rId139" ref="AR62"/>
    <hyperlink r:id="rId140" ref="AU62"/>
    <hyperlink r:id="rId141" ref="AX62"/>
    <hyperlink r:id="rId142" ref="AR63"/>
    <hyperlink r:id="rId143" ref="AU63"/>
    <hyperlink r:id="rId144" ref="AX63"/>
    <hyperlink r:id="rId145" ref="AR64"/>
    <hyperlink r:id="rId146" ref="AU64"/>
    <hyperlink r:id="rId147" ref="AX64"/>
    <hyperlink r:id="rId148" ref="AR66"/>
    <hyperlink r:id="rId149" ref="AU66"/>
    <hyperlink r:id="rId150" ref="AX66"/>
    <hyperlink r:id="rId151" ref="AR67"/>
    <hyperlink r:id="rId152" ref="AU67"/>
    <hyperlink r:id="rId153" ref="AX67"/>
    <hyperlink r:id="rId154" ref="AR68"/>
    <hyperlink r:id="rId155" ref="AU68"/>
    <hyperlink r:id="rId156" ref="AX68"/>
    <hyperlink r:id="rId157" ref="AR69"/>
    <hyperlink r:id="rId158" ref="AU69"/>
    <hyperlink r:id="rId159" ref="AX69"/>
    <hyperlink r:id="rId160" ref="AR70"/>
    <hyperlink r:id="rId161" ref="AU70"/>
    <hyperlink r:id="rId162" ref="AX70"/>
    <hyperlink r:id="rId163" ref="AR71"/>
    <hyperlink r:id="rId164" ref="AU71"/>
    <hyperlink r:id="rId165" ref="AX71"/>
    <hyperlink r:id="rId166" ref="AR72"/>
    <hyperlink r:id="rId167" ref="AU72"/>
    <hyperlink r:id="rId168" ref="AX72"/>
    <hyperlink display="https://docs.google.com/spreadsheets/d/1WtR0lFXiY_JEp8Wr_wvLyuGmgfp31yKLuCpHGtTLTJ4/edit#gid=213568507" location="null!A1" ref="AR73"/>
    <hyperlink r:id="rId169" ref="AU73"/>
    <hyperlink r:id="rId170" ref="AX73"/>
    <hyperlink r:id="rId171" ref="AR74"/>
    <hyperlink r:id="rId172" ref="AU74"/>
    <hyperlink r:id="rId173" ref="AX74"/>
    <hyperlink r:id="rId174" ref="AR75"/>
    <hyperlink r:id="rId175" ref="AU75"/>
    <hyperlink r:id="rId176" ref="AX75"/>
    <hyperlink r:id="rId177" ref="AR76"/>
    <hyperlink r:id="rId178" ref="AU76"/>
    <hyperlink r:id="rId179" ref="AR77"/>
    <hyperlink r:id="rId180" ref="AU77"/>
    <hyperlink r:id="rId181" ref="AX77"/>
    <hyperlink r:id="rId182" ref="AR78"/>
    <hyperlink r:id="rId183" ref="AU78"/>
    <hyperlink r:id="rId184" ref="AX78"/>
    <hyperlink r:id="rId185" ref="AR79"/>
    <hyperlink r:id="rId186" ref="AR80"/>
    <hyperlink r:id="rId187" ref="AU80"/>
    <hyperlink r:id="rId188" ref="AR81"/>
    <hyperlink r:id="rId189" ref="AU81"/>
    <hyperlink r:id="rId190" ref="AX81"/>
    <hyperlink r:id="rId191" ref="AR82"/>
    <hyperlink r:id="rId192" ref="AR83"/>
    <hyperlink r:id="rId193" ref="AU83"/>
    <hyperlink r:id="rId194" ref="AR84"/>
    <hyperlink r:id="rId195" ref="AR85"/>
    <hyperlink r:id="rId196" ref="AU85"/>
    <hyperlink r:id="rId197" ref="AR86"/>
    <hyperlink r:id="rId198" ref="AU86"/>
    <hyperlink r:id="rId199" ref="AX86"/>
    <hyperlink r:id="rId200" ref="AR87"/>
    <hyperlink r:id="rId201" ref="AU87"/>
    <hyperlink r:id="rId202" ref="AX87"/>
    <hyperlink r:id="rId203" ref="AR88"/>
    <hyperlink r:id="rId204" ref="AU88"/>
    <hyperlink r:id="rId205" ref="AX88"/>
    <hyperlink r:id="rId206" ref="AR89"/>
    <hyperlink r:id="rId207" ref="AU89"/>
    <hyperlink r:id="rId208" ref="AX89"/>
    <hyperlink r:id="rId209" ref="AR90"/>
    <hyperlink r:id="rId210" ref="AU90"/>
    <hyperlink r:id="rId211" location="produtos" ref="AX90"/>
    <hyperlink r:id="rId212" ref="AR91"/>
    <hyperlink r:id="rId213" ref="AU91"/>
    <hyperlink r:id="rId214" ref="AX91"/>
    <hyperlink r:id="rId215" ref="AR92"/>
    <hyperlink r:id="rId216" ref="AU92"/>
    <hyperlink r:id="rId217" ref="AX92"/>
    <hyperlink r:id="rId218" ref="AR93"/>
    <hyperlink r:id="rId219" ref="AU93"/>
    <hyperlink r:id="rId220" ref="AR94"/>
    <hyperlink r:id="rId221" ref="AU94"/>
    <hyperlink r:id="rId222" ref="AX94"/>
    <hyperlink r:id="rId223" ref="AR95"/>
    <hyperlink r:id="rId224" ref="AU95"/>
    <hyperlink r:id="rId225" ref="AX95"/>
    <hyperlink r:id="rId226" ref="AR96"/>
    <hyperlink r:id="rId227" ref="AU96"/>
    <hyperlink r:id="rId228" ref="AX96"/>
    <hyperlink r:id="rId229" ref="AR97"/>
    <hyperlink r:id="rId230" ref="AU97"/>
    <hyperlink r:id="rId231" ref="AR98"/>
    <hyperlink r:id="rId232" ref="AU98"/>
    <hyperlink r:id="rId233" ref="AX98"/>
    <hyperlink r:id="rId234" ref="AR99"/>
    <hyperlink r:id="rId235" ref="AU99"/>
    <hyperlink r:id="rId236" ref="AX99"/>
    <hyperlink r:id="rId237" ref="AR100"/>
    <hyperlink r:id="rId238" ref="AU100"/>
    <hyperlink r:id="rId239" ref="AX100"/>
    <hyperlink r:id="rId240" ref="AR101"/>
    <hyperlink r:id="rId241" ref="AU101"/>
    <hyperlink r:id="rId242" ref="AX101"/>
    <hyperlink r:id="rId243" ref="AR102"/>
    <hyperlink r:id="rId244" ref="AU102"/>
    <hyperlink r:id="rId245" ref="AX102"/>
    <hyperlink r:id="rId246" ref="AR103"/>
    <hyperlink r:id="rId247" ref="AU103"/>
    <hyperlink r:id="rId248" ref="AX103"/>
    <hyperlink r:id="rId249" ref="AR104"/>
    <hyperlink r:id="rId250" ref="AU104"/>
    <hyperlink r:id="rId251" ref="AR105"/>
    <hyperlink r:id="rId252" ref="AU105"/>
    <hyperlink r:id="rId253" ref="AX105"/>
    <hyperlink r:id="rId254" ref="AR106"/>
    <hyperlink r:id="rId255" ref="AU106"/>
    <hyperlink r:id="rId256" ref="AR107"/>
    <hyperlink r:id="rId257" ref="AU107"/>
    <hyperlink r:id="rId258" ref="AX107"/>
    <hyperlink r:id="rId259" ref="AR108"/>
    <hyperlink r:id="rId260" ref="AU108"/>
    <hyperlink r:id="rId261" ref="AX108"/>
    <hyperlink r:id="rId262" ref="AR110"/>
    <hyperlink r:id="rId263" ref="AU110"/>
    <hyperlink r:id="rId264" ref="AX110"/>
    <hyperlink r:id="rId265" ref="AR111"/>
    <hyperlink r:id="rId266" ref="AU111"/>
    <hyperlink r:id="rId267" ref="AX111"/>
    <hyperlink r:id="rId268" ref="AR113"/>
    <hyperlink r:id="rId269" ref="AU113"/>
    <hyperlink r:id="rId270" ref="AX113"/>
    <hyperlink r:id="rId271" ref="AR114"/>
    <hyperlink r:id="rId272" ref="AU114"/>
    <hyperlink r:id="rId273" ref="AX114"/>
    <hyperlink r:id="rId274" ref="AR115"/>
    <hyperlink r:id="rId275" ref="AU115"/>
    <hyperlink r:id="rId276" ref="AX115"/>
    <hyperlink r:id="rId277" ref="AR116"/>
    <hyperlink r:id="rId278" ref="AR117"/>
    <hyperlink r:id="rId279" ref="AU117"/>
    <hyperlink r:id="rId280" ref="AX117"/>
    <hyperlink r:id="rId281" ref="AR118"/>
    <hyperlink r:id="rId282" ref="AU118"/>
    <hyperlink r:id="rId283" ref="AX118"/>
    <hyperlink r:id="rId284" ref="AR119"/>
    <hyperlink r:id="rId285" ref="AU119"/>
    <hyperlink r:id="rId286" ref="AX119"/>
    <hyperlink r:id="rId287" ref="AR120"/>
    <hyperlink r:id="rId288" ref="AU120"/>
    <hyperlink r:id="rId289" ref="AX120"/>
    <hyperlink r:id="rId290" ref="AR121"/>
    <hyperlink r:id="rId291" ref="AU121"/>
    <hyperlink r:id="rId292" ref="AX121"/>
    <hyperlink r:id="rId293" ref="AR122"/>
    <hyperlink r:id="rId294" ref="AU122"/>
    <hyperlink r:id="rId295" ref="AX122"/>
    <hyperlink r:id="rId296" ref="AR123"/>
    <hyperlink r:id="rId297" ref="AU123"/>
    <hyperlink r:id="rId298" ref="AX123"/>
    <hyperlink r:id="rId299" ref="AR124"/>
    <hyperlink r:id="rId300" ref="AU124"/>
    <hyperlink r:id="rId301" ref="AX124"/>
    <hyperlink r:id="rId302" ref="AU125"/>
    <hyperlink r:id="rId303" ref="AR126"/>
    <hyperlink r:id="rId304" ref="AU126"/>
    <hyperlink r:id="rId305" ref="AR127"/>
    <hyperlink r:id="rId306" ref="AU127"/>
    <hyperlink r:id="rId307" ref="AR128"/>
    <hyperlink r:id="rId308" ref="AU128"/>
    <hyperlink r:id="rId309" ref="AX128"/>
    <hyperlink r:id="rId310" ref="AR129"/>
    <hyperlink r:id="rId311" ref="AU129"/>
    <hyperlink r:id="rId312" ref="AX129"/>
    <hyperlink r:id="rId313" ref="AR130"/>
    <hyperlink r:id="rId314" ref="AR131"/>
    <hyperlink r:id="rId315" ref="AU131"/>
    <hyperlink r:id="rId316" ref="AX131"/>
    <hyperlink r:id="rId317" ref="AR133"/>
    <hyperlink r:id="rId318" ref="AU133"/>
    <hyperlink r:id="rId319" ref="AX133"/>
    <hyperlink r:id="rId320" ref="AR134"/>
    <hyperlink r:id="rId321" ref="AU134"/>
    <hyperlink r:id="rId322" ref="AX134"/>
    <hyperlink r:id="rId323" ref="AR135"/>
    <hyperlink r:id="rId324" ref="AU135"/>
    <hyperlink r:id="rId325" ref="AX135"/>
    <hyperlink r:id="rId326" ref="AR136"/>
    <hyperlink r:id="rId327" ref="AU136"/>
    <hyperlink r:id="rId328" ref="AX136"/>
    <hyperlink r:id="rId329" ref="AR137"/>
    <hyperlink r:id="rId330" ref="AU137"/>
    <hyperlink r:id="rId331" ref="AX137"/>
    <hyperlink r:id="rId332" ref="AR138"/>
    <hyperlink r:id="rId333" ref="AU138"/>
    <hyperlink r:id="rId334" ref="AR139"/>
    <hyperlink r:id="rId335" ref="AU139"/>
    <hyperlink r:id="rId336" ref="AX139"/>
    <hyperlink r:id="rId337" ref="AR140"/>
    <hyperlink r:id="rId338" ref="AU140"/>
    <hyperlink r:id="rId339" ref="AX140"/>
    <hyperlink r:id="rId340" ref="AR141"/>
    <hyperlink r:id="rId341" ref="AU141"/>
    <hyperlink r:id="rId342" ref="AX141"/>
    <hyperlink r:id="rId343" ref="AR142"/>
    <hyperlink r:id="rId344" ref="AU142"/>
    <hyperlink r:id="rId345" ref="AX142"/>
    <hyperlink r:id="rId346" ref="AR143"/>
    <hyperlink r:id="rId347" ref="AU143"/>
    <hyperlink r:id="rId348" ref="AX143"/>
    <hyperlink r:id="rId349" ref="AR144"/>
    <hyperlink r:id="rId350" ref="AR145"/>
    <hyperlink r:id="rId351" ref="AU145"/>
    <hyperlink r:id="rId352" ref="AX145"/>
    <hyperlink r:id="rId353" ref="AR146"/>
    <hyperlink r:id="rId354" ref="AU146"/>
    <hyperlink r:id="rId355" ref="AX146"/>
    <hyperlink r:id="rId356" ref="AR147"/>
    <hyperlink r:id="rId357" ref="AU147"/>
    <hyperlink r:id="rId358" ref="AX147"/>
    <hyperlink r:id="rId359" ref="AR148"/>
    <hyperlink r:id="rId360" ref="AU148"/>
    <hyperlink r:id="rId361" location="spd=0" ref="AX148"/>
    <hyperlink r:id="rId362" ref="AR149"/>
    <hyperlink r:id="rId363" ref="AU149"/>
    <hyperlink r:id="rId364" ref="AX149"/>
    <hyperlink r:id="rId365" ref="AR150"/>
    <hyperlink r:id="rId366" ref="AU150"/>
    <hyperlink r:id="rId367" ref="AX150"/>
    <hyperlink r:id="rId368" ref="AR151"/>
    <hyperlink r:id="rId369" ref="AU151"/>
    <hyperlink r:id="rId370" ref="AR152"/>
    <hyperlink r:id="rId371" ref="AU152"/>
    <hyperlink r:id="rId372" ref="AR153"/>
    <hyperlink r:id="rId373" ref="AU153"/>
    <hyperlink r:id="rId374" ref="AX153"/>
    <hyperlink r:id="rId375" ref="AR154"/>
    <hyperlink r:id="rId376" ref="AU154"/>
    <hyperlink r:id="rId377" ref="AX154"/>
    <hyperlink r:id="rId378" ref="AR155"/>
    <hyperlink r:id="rId379" ref="AU155"/>
    <hyperlink r:id="rId380" ref="AX155"/>
    <hyperlink r:id="rId381" ref="AR156"/>
    <hyperlink r:id="rId382" ref="AU156"/>
    <hyperlink r:id="rId383" ref="AX156"/>
    <hyperlink r:id="rId384" ref="AR157"/>
    <hyperlink r:id="rId385" ref="AU157"/>
    <hyperlink r:id="rId386" ref="AX157"/>
    <hyperlink r:id="rId387" ref="AR158"/>
    <hyperlink r:id="rId388" ref="AU158"/>
    <hyperlink r:id="rId389" ref="AX158"/>
    <hyperlink r:id="rId390" ref="AR159"/>
    <hyperlink r:id="rId391" ref="AU159"/>
    <hyperlink r:id="rId392" ref="AX159"/>
    <hyperlink r:id="rId393" ref="AR160"/>
    <hyperlink r:id="rId394" ref="AX160"/>
    <hyperlink r:id="rId395" ref="AR161"/>
    <hyperlink r:id="rId396" ref="AU161"/>
    <hyperlink r:id="rId397" ref="AX161"/>
    <hyperlink r:id="rId398" ref="AR162"/>
    <hyperlink r:id="rId399" ref="AU162"/>
    <hyperlink r:id="rId400" ref="AX162"/>
    <hyperlink r:id="rId401" ref="AR163"/>
    <hyperlink r:id="rId402" ref="AU163"/>
    <hyperlink r:id="rId403" ref="AR164"/>
    <hyperlink r:id="rId404" ref="AU164"/>
    <hyperlink r:id="rId405" ref="AR165"/>
    <hyperlink r:id="rId406" ref="AX165"/>
    <hyperlink r:id="rId407" ref="AR168"/>
    <hyperlink r:id="rId408" ref="AR169"/>
    <hyperlink r:id="rId409" ref="AU169"/>
    <hyperlink r:id="rId410" ref="AR173"/>
    <hyperlink r:id="rId411" ref="AR174"/>
    <hyperlink r:id="rId412" ref="AR175"/>
    <hyperlink r:id="rId413" ref="AR176"/>
    <hyperlink r:id="rId414" ref="AR177"/>
    <hyperlink r:id="rId415" ref="AR178"/>
    <hyperlink r:id="rId416" ref="AU178"/>
  </hyperlink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417"/>
</worksheet>
</file>